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-150" windowWidth="18915" windowHeight="12135" tabRatio="781" activeTab="7"/>
  </bookViews>
  <sheets>
    <sheet name="Instructions" sheetId="3" r:id="rId1"/>
    <sheet name="Pre-neg position" sheetId="1" r:id="rId2"/>
    <sheet name="BOM Analysis" sheetId="4" r:id="rId3"/>
    <sheet name="ODC" sheetId="5" r:id="rId4"/>
    <sheet name="G&amp;A Regression" sheetId="6" r:id="rId5"/>
    <sheet name="Profit" sheetId="7" r:id="rId6"/>
    <sheet name="Subcontracts" sheetId="8" r:id="rId7"/>
    <sheet name="Direct Labor" sheetId="9" r:id="rId8"/>
    <sheet name="Labor OH Regression" sheetId="10" state="hidden" r:id="rId9"/>
    <sheet name="InputValues" sheetId="11" state="hidden" r:id="rId10"/>
  </sheets>
  <calcPr calcId="125725"/>
</workbook>
</file>

<file path=xl/calcChain.xml><?xml version="1.0" encoding="utf-8"?>
<calcChain xmlns="http://schemas.openxmlformats.org/spreadsheetml/2006/main">
  <c r="E4" i="1"/>
  <c r="E8"/>
  <c r="B8" i="8" l="1"/>
  <c r="B7"/>
  <c r="B6"/>
  <c r="B5"/>
  <c r="B4"/>
  <c r="B3"/>
  <c r="B2"/>
  <c r="B9" s="1"/>
  <c r="B10" l="1"/>
  <c r="B11" s="1"/>
  <c r="B12" l="1"/>
  <c r="B13" s="1"/>
  <c r="B14" l="1"/>
  <c r="B15"/>
  <c r="E12" i="1" l="1"/>
  <c r="B6" i="9"/>
  <c r="C43" i="4" l="1"/>
  <c r="G4"/>
  <c r="E16" i="1"/>
  <c r="C21" i="5"/>
  <c r="B21"/>
  <c r="D19"/>
  <c r="D18"/>
  <c r="D17"/>
  <c r="D16"/>
  <c r="D15"/>
  <c r="D14"/>
  <c r="D13"/>
  <c r="D12"/>
  <c r="D11"/>
  <c r="D10"/>
  <c r="D9"/>
  <c r="D8"/>
  <c r="D7"/>
  <c r="D6"/>
  <c r="D5"/>
  <c r="D4"/>
  <c r="D3"/>
  <c r="D21" s="1"/>
  <c r="F5" i="9" l="1"/>
  <c r="F4"/>
  <c r="F6" s="1"/>
  <c r="H5"/>
  <c r="H4"/>
  <c r="H6" s="1"/>
  <c r="C14" i="1"/>
  <c r="I14" l="1"/>
  <c r="I6"/>
  <c r="I10" s="1"/>
  <c r="I18" s="1"/>
  <c r="D20" i="10"/>
  <c r="F14"/>
  <c r="E14"/>
  <c r="D14"/>
  <c r="C14"/>
  <c r="B14"/>
  <c r="F6"/>
  <c r="E6"/>
  <c r="D6"/>
  <c r="C6"/>
  <c r="B6"/>
  <c r="B5" i="9"/>
  <c r="B4"/>
  <c r="M42" i="7"/>
  <c r="M39"/>
  <c r="I39"/>
  <c r="M38"/>
  <c r="I21" i="1" l="1"/>
  <c r="I25" s="1"/>
  <c r="I27" s="1"/>
  <c r="I38" i="7"/>
  <c r="I29" i="1" l="1"/>
  <c r="I31" s="1"/>
  <c r="J29" i="7"/>
  <c r="M29" l="1"/>
  <c r="D20" i="6" l="1"/>
  <c r="F14"/>
  <c r="E14"/>
  <c r="D14"/>
  <c r="C14"/>
  <c r="B14"/>
  <c r="F6"/>
  <c r="E6"/>
  <c r="D6"/>
  <c r="C6"/>
  <c r="B6"/>
  <c r="G21" i="1" l="1"/>
  <c r="C6" l="1"/>
  <c r="E6" s="1"/>
  <c r="E10" l="1"/>
  <c r="C10" l="1"/>
  <c r="C18" s="1"/>
  <c r="C23" l="1"/>
  <c r="C21"/>
  <c r="C25" s="1"/>
  <c r="C27" l="1"/>
  <c r="J22" i="7"/>
  <c r="J31"/>
  <c r="C29" i="1" l="1"/>
  <c r="C31" s="1"/>
  <c r="E14" l="1"/>
  <c r="M15" i="7" l="1"/>
  <c r="E18" i="1"/>
  <c r="E21" s="1"/>
  <c r="M16" i="7" s="1"/>
  <c r="M17" l="1"/>
  <c r="K31" l="1"/>
  <c r="M31" s="1"/>
  <c r="G25"/>
  <c r="M25" s="1"/>
  <c r="K23"/>
  <c r="M23" s="1"/>
  <c r="K22"/>
  <c r="M22" s="1"/>
  <c r="K35"/>
  <c r="M32" l="1"/>
  <c r="K37" s="1"/>
  <c r="K39" s="1"/>
  <c r="G25" i="1" s="1"/>
  <c r="E25" s="1"/>
  <c r="E27" s="1"/>
  <c r="E29" s="1"/>
  <c r="E31" s="1"/>
  <c r="K38" i="7" l="1"/>
</calcChain>
</file>

<file path=xl/comments1.xml><?xml version="1.0" encoding="utf-8"?>
<comments xmlns="http://schemas.openxmlformats.org/spreadsheetml/2006/main">
  <authors>
    <author>Kurt Chelf</author>
    <author>DAU USER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Analysis found in "BOM Analysis Tab.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Scrap based on 4.5% rate.
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Analysis shows that the wages and fringe benefits proposed are realistic for the DBA wage determination for this area and for professional services, in line with the BLS Wage Survey.  G&amp;A and Profit were not analyzed as this was competitively awarded
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Audit questioned $1000 of the $144,000 proposed amount.  BLS wage rate analysis shows a range of possible compensation arrangements of $140,566.40 to $146,244.80.  Both proposed employees are currently on site and wages paid can be verified.  Accept rate of $143,000.
</t>
        </r>
      </text>
    </comment>
    <comment ref="C14" authorId="1">
      <text>
        <r>
          <rPr>
            <b/>
            <sz val="8"/>
            <color indexed="81"/>
            <rFont val="Tahoma"/>
            <charset val="1"/>
          </rPr>
          <t>DAU USER:</t>
        </r>
        <r>
          <rPr>
            <sz val="8"/>
            <color indexed="81"/>
            <rFont val="Tahoma"/>
            <charset val="1"/>
          </rPr>
          <t xml:space="preserve">
Labor Overhead @ 135% of DL$
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Overhead based on 135% rate.
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Labor overhead rate from FPRR, confirmed by Audit report.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Analysis found in "ODC" Tab.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G&amp;A Rate derived through Regression Analysis found in "G&amp;A Regression" Tab.</t>
        </r>
      </text>
    </comment>
    <comment ref="E23" authorId="1">
      <text>
        <r>
          <rPr>
            <b/>
            <sz val="8"/>
            <color indexed="81"/>
            <rFont val="Tahoma"/>
            <charset val="1"/>
          </rPr>
          <t>DAU USER:</t>
        </r>
        <r>
          <rPr>
            <sz val="8"/>
            <color indexed="81"/>
            <rFont val="Tahoma"/>
            <charset val="1"/>
          </rPr>
          <t xml:space="preserve">
The contractor did not propose FCCOM on the original contract and the clause at FAR 52.215-17 Waiver of Facilities Capital Cost of Money was included; therefore, if the contractor subsequently proposes FCCOM, it is an unallowable cost IAW FAR 15.408 (i)
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DAU USER:</t>
        </r>
        <r>
          <rPr>
            <sz val="8"/>
            <color indexed="81"/>
            <rFont val="Tahoma"/>
            <family val="2"/>
          </rPr>
          <t xml:space="preserve">
Ktr added profit on TCI, G&amp;A and FCCOM.  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DAU USER:</t>
        </r>
        <r>
          <rPr>
            <sz val="8"/>
            <color indexed="81"/>
            <rFont val="Tahoma"/>
            <family val="2"/>
          </rPr>
          <t xml:space="preserve">
Profit based on WGL @ 9.5
% of TCI &amp; G&amp;A. Profit is not applied to FCCOM.  In addition, ktr did not propose FCCOM on basic contract and cannot add on this modification.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Derived from "Profit" Tab using WGL.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Market analysis reveals surety companies charge between 1.5% and 2% for small construction projects $1,000,000 and under and a sliding scale which decreases as the amount of the project increases.  DCAA recommends a 1.5% rate for this area, company and magnitude of the project
</t>
        </r>
      </text>
    </comment>
  </commentList>
</comments>
</file>

<file path=xl/comments2.xml><?xml version="1.0" encoding="utf-8"?>
<comments xmlns="http://schemas.openxmlformats.org/spreadsheetml/2006/main">
  <authors>
    <author>Gary Grebner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Kurt Chelf:</t>
        </r>
        <r>
          <rPr>
            <sz val="9"/>
            <color indexed="81"/>
            <rFont val="Tahoma"/>
            <charset val="1"/>
          </rPr>
          <t xml:space="preserve">
These results are from the DCAA audit of Material Cost.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DAU User</author>
    <author>Reinhart</author>
  </authors>
  <commentList>
    <comment ref="B5" authorId="0">
      <text>
        <r>
          <rPr>
            <b/>
            <sz val="10"/>
            <color indexed="62"/>
            <rFont val="Tahoma"/>
            <family val="2"/>
          </rPr>
          <t>Contracting Office use only.</t>
        </r>
      </text>
    </comment>
    <comment ref="D5" authorId="0">
      <text>
        <r>
          <rPr>
            <b/>
            <sz val="10"/>
            <color indexed="62"/>
            <rFont val="Tahoma"/>
            <family val="2"/>
          </rPr>
          <t>Identifying contract number - Block B1A of the DD 350</t>
        </r>
      </text>
    </comment>
    <comment ref="K5" authorId="0">
      <text>
        <r>
          <rPr>
            <b/>
            <sz val="10"/>
            <color indexed="62"/>
            <rFont val="Tahoma"/>
            <family val="2"/>
          </rPr>
          <t>Block B2 of the DD 350</t>
        </r>
      </text>
    </comment>
    <comment ref="B8" authorId="0">
      <text>
        <r>
          <rPr>
            <b/>
            <sz val="10"/>
            <color indexed="62"/>
            <rFont val="Tahoma"/>
            <family val="2"/>
          </rPr>
          <t>Contracting Office use only.</t>
        </r>
      </text>
    </comment>
    <comment ref="J10" authorId="0">
      <text>
        <r>
          <rPr>
            <b/>
            <sz val="10"/>
            <color indexed="62"/>
            <rFont val="Tahoma"/>
            <family val="2"/>
          </rPr>
          <t>All PEPS inputs with transaction code  "P", including Freight In and Training</t>
        </r>
      </text>
    </comment>
    <comment ref="J11" authorId="0">
      <text>
        <r>
          <rPr>
            <b/>
            <sz val="10"/>
            <color indexed="62"/>
            <rFont val="Tahoma"/>
            <family val="2"/>
          </rPr>
          <t>All PEPS inputs with transaction code "S" - both external and internal (IWTAs)</t>
        </r>
      </text>
    </comment>
    <comment ref="B12" authorId="0">
      <text>
        <r>
          <rPr>
            <b/>
            <sz val="10"/>
            <color indexed="62"/>
            <rFont val="Tahoma"/>
            <family val="2"/>
          </rPr>
          <t xml:space="preserve">Block B5A of the DD 350
See Section 2 - Miscellaneous Fact Sheet at 
</t>
        </r>
        <r>
          <rPr>
            <b/>
            <i/>
            <sz val="10"/>
            <color indexed="62"/>
            <rFont val="Tahoma"/>
            <family val="2"/>
          </rPr>
          <t>https://www.mds.lmco.com/contracts/</t>
        </r>
        <r>
          <rPr>
            <b/>
            <sz val="10"/>
            <color indexed="62"/>
            <rFont val="Tahoma"/>
            <family val="2"/>
          </rPr>
          <t xml:space="preserve"> for this number and others
</t>
        </r>
      </text>
    </comment>
    <comment ref="F12" authorId="0">
      <text>
        <r>
          <rPr>
            <b/>
            <sz val="10"/>
            <color indexed="62"/>
            <rFont val="Tahoma"/>
            <family val="2"/>
          </rPr>
          <t xml:space="preserve">Block B12A of the DD 350
</t>
        </r>
      </text>
    </comment>
    <comment ref="J13" authorId="0">
      <text>
        <r>
          <rPr>
            <b/>
            <sz val="10"/>
            <color indexed="62"/>
            <rFont val="Tahoma"/>
            <family val="2"/>
          </rPr>
          <t>Overhead, MXH</t>
        </r>
      </text>
    </comment>
    <comment ref="B14" authorId="0">
      <text>
        <r>
          <rPr>
            <b/>
            <sz val="10"/>
            <color indexed="62"/>
            <rFont val="Tahoma"/>
            <family val="2"/>
          </rPr>
          <t>Block B12B of the DD 350</t>
        </r>
      </text>
    </comment>
    <comment ref="J14" authorId="0">
      <text>
        <r>
          <rPr>
            <b/>
            <sz val="10"/>
            <color indexed="62"/>
            <rFont val="Tahoma"/>
            <family val="2"/>
          </rPr>
          <t>All PEPS inputs with transaction code "O" (incl. Purchased Labor) plus AWC, Security, Graphic Arts, T&amp;L, TDY, Night Shift Bonus, Overtime Premium, Temporary/Extended Duty Premiums, Subcontractor Facilities and IT Cost and Unburdened Cost</t>
        </r>
      </text>
    </comment>
    <comment ref="J15" authorId="1">
      <text>
        <r>
          <rPr>
            <b/>
            <sz val="8"/>
            <color indexed="81"/>
            <rFont val="Tahoma"/>
            <family val="2"/>
          </rPr>
          <t>DAU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10"/>
            <color indexed="62"/>
            <rFont val="Tahoma"/>
            <family val="2"/>
          </rPr>
          <t>Total Cost excludes Facilities Capital Cost of Money</t>
        </r>
      </text>
    </comment>
    <comment ref="J20" authorId="0">
      <text>
        <r>
          <rPr>
            <sz val="10"/>
            <color indexed="62"/>
            <rFont val="Tahoma"/>
            <family val="2"/>
          </rPr>
          <t>The standard designated range is 3 to 7, with a "normal" value of 5.  See DFAR 215.404-71-2.
For the technical factor only, the technology incentive range of 7 to 11 with a "normal" value of 9 may be used.  See DFAR 215.404-71-2 (c) (2).</t>
        </r>
      </text>
    </comment>
    <comment ref="G21" authorId="0">
      <text>
        <r>
          <rPr>
            <sz val="10"/>
            <color indexed="62"/>
            <rFont val="Tahoma"/>
            <family val="2"/>
          </rPr>
          <t>The sum of assigned values for Technical and Management/Cost Control risk must equal 100%.</t>
        </r>
      </text>
    </comment>
    <comment ref="J21" authorId="0">
      <text>
        <r>
          <rPr>
            <sz val="10"/>
            <color indexed="62"/>
            <rFont val="Tahoma"/>
            <family val="2"/>
          </rPr>
          <t>The standard designated range is 3 to 7, with a "normal" value of 5.  See DFAR 215.404-71-2.</t>
        </r>
      </text>
    </comment>
    <comment ref="C23" authorId="0">
      <text>
        <r>
          <rPr>
            <sz val="10"/>
            <color indexed="62"/>
            <rFont val="Tahoma"/>
            <family val="2"/>
          </rPr>
          <t xml:space="preserve">Firm-fixed-price, no financing......................................4.0 to 6.0
Firm-fixed-price, with performance-based payments...........2.5 to 5.5  
Firm-fixed-price, with progress payments........................2.0 to 4.0
Fixed-price-incentive, no financing................................2.0 to 4.0
Fixed-price-incentive, with performance-based payments.....0.5 to 3.5  
Fixed-price with redetermination provision...................................
Fixed-price-incentive, with progress payments....................0 to 2.0
Cost-plus-incentive-fee............................................... 0 to 2.0
Cost-plus-fixed-fee............ ........................................0 to 1.0
Time-and-materials.....................................................0 to 1.0
Labor-hour..............................................................0 to 1.0
Firm-fixed-price-level-of-effort.......................................0 to 1.0
See DFAR 215.404-71-3
</t>
        </r>
      </text>
    </comment>
    <comment ref="F24" authorId="0">
      <text>
        <r>
          <rPr>
            <b/>
            <sz val="10"/>
            <color indexed="62"/>
            <rFont val="Tahoma"/>
            <family val="2"/>
          </rPr>
          <t>Adjust as necessary.</t>
        </r>
      </text>
    </comment>
    <comment ref="I24" authorId="0">
      <text>
        <r>
          <rPr>
            <sz val="10"/>
            <color indexed="62"/>
            <rFont val="Tahoma"/>
            <family val="2"/>
          </rPr>
          <t xml:space="preserve">Period to perform </t>
        </r>
        <r>
          <rPr>
            <i/>
            <sz val="10"/>
            <color indexed="62"/>
            <rFont val="Tahoma"/>
            <family val="2"/>
          </rPr>
          <t>substantive</t>
        </r>
        <r>
          <rPr>
            <sz val="10"/>
            <color indexed="62"/>
            <rFont val="Tahoma"/>
            <family val="2"/>
          </rPr>
          <t xml:space="preserve"> portion of contract -  in months.  See DFARS 215.404-71-3(f).  
Note that value must be highlighted on scroll bar for correct factor to appear.
</t>
        </r>
      </text>
    </comment>
    <comment ref="K24" authorId="0">
      <text>
        <r>
          <rPr>
            <sz val="10"/>
            <color indexed="62"/>
            <rFont val="Tahoma"/>
            <family val="2"/>
          </rPr>
          <t>Established by Sec'y of Treasury.  Changes twice a year.  Get from Finance.</t>
        </r>
      </text>
    </comment>
    <comment ref="C25" authorId="0">
      <text>
        <r>
          <rPr>
            <b/>
            <sz val="10"/>
            <color indexed="62"/>
            <rFont val="Tahoma"/>
            <family val="2"/>
          </rPr>
          <t xml:space="preserve">Only complete this block for fixed-price contracts with progress payments.
</t>
        </r>
      </text>
    </comment>
    <comment ref="M25" authorId="0">
      <text>
        <r>
          <rPr>
            <sz val="10"/>
            <color indexed="62"/>
            <rFont val="Tahoma"/>
            <family val="2"/>
          </rPr>
          <t>Cannot exceed 4% of total cost through G&amp;A</t>
        </r>
      </text>
    </comment>
    <comment ref="C26" authorId="0">
      <text>
        <r>
          <rPr>
            <sz val="10"/>
            <color indexed="62"/>
            <rFont val="Tahoma"/>
            <family val="2"/>
          </rPr>
          <t>No profit is given for facilities capital employed when the alternate deisgnated range is used for performance risk.</t>
        </r>
      </text>
    </comment>
    <comment ref="K27" authorId="0">
      <text>
        <r>
          <rPr>
            <b/>
            <sz val="10"/>
            <color indexed="62"/>
            <rFont val="Tahoma"/>
            <family val="2"/>
          </rPr>
          <t>Use the amounts from the DD1861 report.</t>
        </r>
      </text>
    </comment>
    <comment ref="K28" authorId="0">
      <text>
        <r>
          <rPr>
            <b/>
            <sz val="10"/>
            <color indexed="62"/>
            <rFont val="Tahoma"/>
            <family val="2"/>
          </rPr>
          <t>Use the amounts from the DD1861 report.</t>
        </r>
      </text>
    </comment>
    <comment ref="J29" authorId="2">
      <text>
        <r>
          <rPr>
            <sz val="10"/>
            <color indexed="62"/>
            <rFont val="Tahoma"/>
            <family val="2"/>
          </rPr>
          <t>The designated range is 10 to 25 (percent) with a "normal" value of 17.5 (percent).  See DFAR 215.404-71-4.</t>
        </r>
      </text>
    </comment>
    <comment ref="K29" authorId="0">
      <text>
        <r>
          <rPr>
            <b/>
            <sz val="10"/>
            <color indexed="62"/>
            <rFont val="Tahoma"/>
            <family val="2"/>
          </rPr>
          <t>Use the amounts from the DD1861 report.</t>
        </r>
      </text>
    </comment>
    <comment ref="M34" authorId="0">
      <text>
        <r>
          <rPr>
            <b/>
            <sz val="10"/>
            <color indexed="62"/>
            <rFont val="Tahoma"/>
            <family val="2"/>
          </rPr>
          <t xml:space="preserve">Contracting Office use only.
</t>
        </r>
      </text>
    </comment>
    <comment ref="I36" authorId="0">
      <text>
        <r>
          <rPr>
            <b/>
            <sz val="10"/>
            <color indexed="62"/>
            <rFont val="Tahoma"/>
            <family val="2"/>
          </rPr>
          <t>Use the amount from the total line of the DD1861 report.</t>
        </r>
      </text>
    </comment>
    <comment ref="K36" authorId="0">
      <text>
        <r>
          <rPr>
            <b/>
            <sz val="10"/>
            <color indexed="62"/>
            <rFont val="Tahoma"/>
            <family val="2"/>
          </rPr>
          <t>Use the amounts from the DD1861 report.</t>
        </r>
      </text>
    </comment>
    <comment ref="I37" authorId="0">
      <text>
        <r>
          <rPr>
            <b/>
            <sz val="10"/>
            <color indexed="62"/>
            <rFont val="Tahoma"/>
            <family val="2"/>
          </rPr>
          <t xml:space="preserve">Enter proposed profit to compare to calculated profit Total Profit Objective item 30.
</t>
        </r>
      </text>
    </comment>
  </commentList>
</comments>
</file>

<file path=xl/comments4.xml><?xml version="1.0" encoding="utf-8"?>
<comments xmlns="http://schemas.openxmlformats.org/spreadsheetml/2006/main">
  <authors>
    <author>Kurt Chelf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Kurt Chelf:</t>
        </r>
        <r>
          <rPr>
            <sz val="8"/>
            <color indexed="81"/>
            <rFont val="Tahoma"/>
            <family val="2"/>
          </rPr>
          <t xml:space="preserve">
Audit questioned $1000 of the $144,000 proposed amount.  This appears to be a simple mathematical or transposing error.</t>
        </r>
      </text>
    </comment>
  </commentList>
</comments>
</file>

<file path=xl/sharedStrings.xml><?xml version="1.0" encoding="utf-8"?>
<sst xmlns="http://schemas.openxmlformats.org/spreadsheetml/2006/main" count="376" uniqueCount="324">
  <si>
    <t>Contractor's Proposal</t>
  </si>
  <si>
    <t>Subcontracts</t>
  </si>
  <si>
    <t>Other Direct Costs</t>
  </si>
  <si>
    <t>Subtotal</t>
  </si>
  <si>
    <t>Total Price</t>
  </si>
  <si>
    <t>Total Price including Bonding</t>
  </si>
  <si>
    <t>Proposed Amount</t>
  </si>
  <si>
    <t>Total Material Costs</t>
  </si>
  <si>
    <t>Profit @ 10%</t>
  </si>
  <si>
    <t>Bonding Costs @ 2.5%</t>
  </si>
  <si>
    <t>Government Objective</t>
  </si>
  <si>
    <t>Pre-negotiation Amount</t>
  </si>
  <si>
    <t>Total:</t>
  </si>
  <si>
    <t>Civil Engineering Technician I</t>
  </si>
  <si>
    <t>Civil Engineer I</t>
  </si>
  <si>
    <t>Architect I</t>
  </si>
  <si>
    <t>Plumber I</t>
  </si>
  <si>
    <t>Electrician I</t>
  </si>
  <si>
    <t>Carpenter I</t>
  </si>
  <si>
    <t>Total</t>
  </si>
  <si>
    <t>Rate</t>
  </si>
  <si>
    <t>Factor</t>
  </si>
  <si>
    <t>Travel</t>
  </si>
  <si>
    <t>Annual hours per FTE</t>
  </si>
  <si>
    <t>Cost Data Analysis</t>
  </si>
  <si>
    <t>Aggregate of Statistical Sample</t>
  </si>
  <si>
    <t>100% Analysis</t>
  </si>
  <si>
    <t>Subtotal PP/RM:</t>
  </si>
  <si>
    <t>Material Element</t>
  </si>
  <si>
    <t>Proposed</t>
  </si>
  <si>
    <t>Ceilings</t>
  </si>
  <si>
    <t>Conc Accessories</t>
  </si>
  <si>
    <t>Conc Finish</t>
  </si>
  <si>
    <t>Conc Form - Access</t>
  </si>
  <si>
    <t>Conc Form Column</t>
  </si>
  <si>
    <t>Conc form - On Grade</t>
  </si>
  <si>
    <t>Conc Form - Structural</t>
  </si>
  <si>
    <t>Conc Form - Walls</t>
  </si>
  <si>
    <t>Conc Grind/Patch/Rub</t>
  </si>
  <si>
    <t>Conc - Purchase</t>
  </si>
  <si>
    <t>conc Set Metals</t>
  </si>
  <si>
    <t>Conc Wire Mesh</t>
  </si>
  <si>
    <t>Doors</t>
  </si>
  <si>
    <t>Drywall GWB</t>
  </si>
  <si>
    <t>Drywall Metal Stubs</t>
  </si>
  <si>
    <t>Equip - Kitchen / Bath</t>
  </si>
  <si>
    <t>Equip - Misc</t>
  </si>
  <si>
    <t>Fill Material</t>
  </si>
  <si>
    <t>Fire Control</t>
  </si>
  <si>
    <t>Furnishings</t>
  </si>
  <si>
    <t>Insulation</t>
  </si>
  <si>
    <t>Lumber</t>
  </si>
  <si>
    <t>Lumber - PT</t>
  </si>
  <si>
    <t>Lumber - FT</t>
  </si>
  <si>
    <t>Lumber Plywood</t>
  </si>
  <si>
    <t>Lumber Plywood - FT</t>
  </si>
  <si>
    <t>Lumber Plywood - PT</t>
  </si>
  <si>
    <t>Lumber Trusses</t>
  </si>
  <si>
    <t>Lumber Paneling</t>
  </si>
  <si>
    <t>Lumber Trim</t>
  </si>
  <si>
    <t>Pipe HD PE</t>
  </si>
  <si>
    <t>Pipe SDR 35</t>
  </si>
  <si>
    <t>Precast Catch Basin</t>
  </si>
  <si>
    <t>Precast Manhole</t>
  </si>
  <si>
    <t>Rebar - Concrete</t>
  </si>
  <si>
    <t>Siding</t>
  </si>
  <si>
    <t>Site Protect</t>
  </si>
  <si>
    <t>Toilet Partitions</t>
  </si>
  <si>
    <t>Vapor and Air Barriers</t>
  </si>
  <si>
    <t>General Conditions</t>
  </si>
  <si>
    <t>Subtotal Subcontracts:</t>
  </si>
  <si>
    <t>Other Direct Cost Element</t>
  </si>
  <si>
    <t>Questioned</t>
  </si>
  <si>
    <t>Equipment Rental</t>
  </si>
  <si>
    <t>Site Office Rental</t>
  </si>
  <si>
    <t>Portable Toilet Rental</t>
  </si>
  <si>
    <t>Project Signs 4x8</t>
  </si>
  <si>
    <t>Temporary Toilets</t>
  </si>
  <si>
    <t>Fire Extinguishers</t>
  </si>
  <si>
    <t>Dumpster Rental/Pick up</t>
  </si>
  <si>
    <t>Set-up Field Offices</t>
  </si>
  <si>
    <t>Copy Machines</t>
  </si>
  <si>
    <t>Fax Machines</t>
  </si>
  <si>
    <t>Telephones</t>
  </si>
  <si>
    <t>Office Consumables</t>
  </si>
  <si>
    <t>Construction Fencing</t>
  </si>
  <si>
    <t>Personnel Protection Devices</t>
  </si>
  <si>
    <t>Misc. Safety Equipment</t>
  </si>
  <si>
    <t>Total Other Direct Costs</t>
  </si>
  <si>
    <t>Difference</t>
  </si>
  <si>
    <t>FYX4</t>
  </si>
  <si>
    <t>FYX5</t>
  </si>
  <si>
    <t>FYX6</t>
  </si>
  <si>
    <t>FYX7</t>
  </si>
  <si>
    <t>Actual</t>
  </si>
  <si>
    <t>% Diff</t>
  </si>
  <si>
    <t>Total Sales (Base)</t>
  </si>
  <si>
    <t>Total G&amp;A Expenses (Pool)</t>
  </si>
  <si>
    <t>Regression Analysis Tool derived G&amp;A Pool:</t>
  </si>
  <si>
    <t>Estimated Total Sales (Base):</t>
  </si>
  <si>
    <t>Calculated Rate:</t>
  </si>
  <si>
    <t>Bonding Costs</t>
  </si>
  <si>
    <t>Rates</t>
  </si>
  <si>
    <t>Cost Elements</t>
  </si>
  <si>
    <t>G&amp;A Expense Rate</t>
  </si>
  <si>
    <t>Profit Rate</t>
  </si>
  <si>
    <t>Scrap Rate</t>
  </si>
  <si>
    <t>Direct Labor Overhead Rate</t>
  </si>
  <si>
    <t>Material and Subcontracts</t>
  </si>
  <si>
    <t>17-2051</t>
  </si>
  <si>
    <t>17-3022</t>
  </si>
  <si>
    <t>Standard Occupational Classification (SOC)</t>
  </si>
  <si>
    <t>Direct Labor Category</t>
  </si>
  <si>
    <t>Contractor Proposed Position</t>
  </si>
  <si>
    <t>Contractor Proposed Rate</t>
  </si>
  <si>
    <t>Total Direct Labor Costs (Base)</t>
  </si>
  <si>
    <t>Total Direct Labor Expenses (Pool)</t>
  </si>
  <si>
    <t>Total Direct Labor (Base):</t>
  </si>
  <si>
    <t>Regression Analysis Tool derived Direct Labor Expense Pool:</t>
  </si>
  <si>
    <t>DoD Weighted Guidelines</t>
  </si>
  <si>
    <t>RECORD OF WEIGHTED GUIDELINES APPLICATION</t>
  </si>
  <si>
    <t>REPORT CONTROL SYMBOL</t>
  </si>
  <si>
    <t>DD-AT&amp;L(Q)1751</t>
  </si>
  <si>
    <t>1. REPORT NO.</t>
  </si>
  <si>
    <t>2. BASIC PROCUREMENT INSTRUMENT IDENTIFICATION NO.</t>
  </si>
  <si>
    <t xml:space="preserve">3. SPIIN
</t>
  </si>
  <si>
    <t>4. DATE OF ACTION</t>
  </si>
  <si>
    <t>a. PURCHASING OFFICE</t>
  </si>
  <si>
    <t>b. FY</t>
  </si>
  <si>
    <t>c. TYPE PROC INST CODE</t>
  </si>
  <si>
    <t xml:space="preserve">d. PRISN
</t>
  </si>
  <si>
    <t>a. YEAR</t>
  </si>
  <si>
    <t>b. MONTH</t>
  </si>
  <si>
    <t>5. CONTRACTING OFFICE CODE</t>
  </si>
  <si>
    <t>ITEM</t>
  </si>
  <si>
    <t>COST CATEGORY</t>
  </si>
  <si>
    <t>OBJECTIVE</t>
  </si>
  <si>
    <t xml:space="preserve">6. NAME OF CONTRACTOR
</t>
  </si>
  <si>
    <t>13.</t>
  </si>
  <si>
    <t>MATERIAL</t>
  </si>
  <si>
    <t>14.</t>
  </si>
  <si>
    <t>SUBCONTRACTS</t>
  </si>
  <si>
    <t xml:space="preserve">8. FEDERAL SUPPLY CODE
</t>
  </si>
  <si>
    <t>15.</t>
  </si>
  <si>
    <t>DIRECT LABOR</t>
  </si>
  <si>
    <t>16.</t>
  </si>
  <si>
    <t>INDIRECT EXPENSES</t>
  </si>
  <si>
    <t xml:space="preserve">9. DOD CLAIMANT PROGRAM
</t>
  </si>
  <si>
    <t>10. CONTRACT TYPE CODE</t>
  </si>
  <si>
    <t>17.</t>
  </si>
  <si>
    <t>OTHER DIRECT CHARGES</t>
  </si>
  <si>
    <t>18.</t>
  </si>
  <si>
    <r>
      <t>SUBTOTAL COSTS</t>
    </r>
    <r>
      <rPr>
        <i/>
        <sz val="10"/>
        <rFont val="Arial Narrow"/>
        <family val="2"/>
      </rPr>
      <t xml:space="preserve"> </t>
    </r>
    <r>
      <rPr>
        <i/>
        <sz val="10"/>
        <rFont val="Arial"/>
        <family val="2"/>
      </rPr>
      <t>(13 thru 17)</t>
    </r>
  </si>
  <si>
    <t>11. TYPE EFFORT</t>
  </si>
  <si>
    <t xml:space="preserve">12. USE CODE
 2
</t>
  </si>
  <si>
    <t>19.</t>
  </si>
  <si>
    <t>GENERAL AND ADMINISTRATIVE</t>
  </si>
  <si>
    <t>20.</t>
  </si>
  <si>
    <r>
      <t>TOTAL COSTS</t>
    </r>
    <r>
      <rPr>
        <i/>
        <sz val="10"/>
        <rFont val="Arial Narrow"/>
        <family val="2"/>
      </rPr>
      <t xml:space="preserve"> </t>
    </r>
    <r>
      <rPr>
        <i/>
        <sz val="10"/>
        <rFont val="Arial"/>
        <family val="2"/>
      </rPr>
      <t>(18 + 19)</t>
    </r>
  </si>
  <si>
    <t>WEIGHTED GUIDELINES PROFIT FACTORS</t>
  </si>
  <si>
    <t>CONTRACTOR RISK FACTORS</t>
  </si>
  <si>
    <t>ASSIGNED WEIGHTING</t>
  </si>
  <si>
    <t>ASSIGNED VALUE</t>
  </si>
  <si>
    <r>
      <t xml:space="preserve">BASE </t>
    </r>
    <r>
      <rPr>
        <i/>
        <sz val="10"/>
        <rFont val="Arial"/>
        <family val="2"/>
      </rPr>
      <t>(Item 20)</t>
    </r>
  </si>
  <si>
    <t>PROFIT OBJECTIVE</t>
  </si>
  <si>
    <t>21.</t>
  </si>
  <si>
    <t>TECHNICAL</t>
  </si>
  <si>
    <t>22.</t>
  </si>
  <si>
    <t>MANAGEMENT/COST CONTROL</t>
  </si>
  <si>
    <t>23.</t>
  </si>
  <si>
    <t>PERFORMANCE RISK (COMPOSITE)</t>
  </si>
  <si>
    <t>24.</t>
  </si>
  <si>
    <t>CONTRACT TYPE RISK</t>
  </si>
  <si>
    <t>25.</t>
  </si>
  <si>
    <t>COSTS FINANCED</t>
  </si>
  <si>
    <t>LENGTH FACTOR</t>
  </si>
  <si>
    <t>INTEREST RATE</t>
  </si>
  <si>
    <t>WORKING CAPITAL</t>
  </si>
  <si>
    <t>CONTRACTOR FACILITIES CAPITAL FINANCED</t>
  </si>
  <si>
    <t>AMOUNT EMPLOYED</t>
  </si>
  <si>
    <t>26.</t>
  </si>
  <si>
    <t>LAND</t>
  </si>
  <si>
    <t>27.</t>
  </si>
  <si>
    <t>BUILDINGS</t>
  </si>
  <si>
    <t>28.</t>
  </si>
  <si>
    <t>EQUIPMENT</t>
  </si>
  <si>
    <t>29.</t>
  </si>
  <si>
    <t>COST EFFICIENCY FACTOR</t>
  </si>
  <si>
    <t>30.</t>
  </si>
  <si>
    <t xml:space="preserve">TOTAL PROFIT OBJECTIVE  </t>
  </si>
  <si>
    <t>NEGOTIATED SUMMARY</t>
  </si>
  <si>
    <t>PROPOSED</t>
  </si>
  <si>
    <t>NEGOTIATED</t>
  </si>
  <si>
    <t>31.</t>
  </si>
  <si>
    <t>TOTAL COSTS</t>
  </si>
  <si>
    <t>32.</t>
  </si>
  <si>
    <r>
      <t>FACILITIES CAPITAL COST OF MONEY</t>
    </r>
    <r>
      <rPr>
        <i/>
        <sz val="8"/>
        <rFont val="Arial Narrow"/>
        <family val="2"/>
      </rPr>
      <t xml:space="preserve"> </t>
    </r>
    <r>
      <rPr>
        <i/>
        <sz val="10"/>
        <rFont val="Arial"/>
        <family val="2"/>
      </rPr>
      <t xml:space="preserve">(DD Form 1861 </t>
    </r>
    <r>
      <rPr>
        <b/>
        <i/>
        <sz val="10"/>
        <rFont val="Arial"/>
        <family val="2"/>
      </rPr>
      <t>Total</t>
    </r>
    <r>
      <rPr>
        <i/>
        <sz val="10"/>
        <rFont val="Arial"/>
        <family val="2"/>
      </rPr>
      <t>)</t>
    </r>
  </si>
  <si>
    <t>33.</t>
  </si>
  <si>
    <t>PROFIT</t>
  </si>
  <si>
    <t>34.</t>
  </si>
  <si>
    <r>
      <t>TOTAL PRICE</t>
    </r>
    <r>
      <rPr>
        <i/>
        <sz val="8"/>
        <rFont val="Arial Narrow"/>
        <family val="2"/>
      </rPr>
      <t xml:space="preserve"> </t>
    </r>
    <r>
      <rPr>
        <i/>
        <sz val="10"/>
        <rFont val="Arial"/>
        <family val="2"/>
      </rPr>
      <t>(Line 31 + 32 + 33)</t>
    </r>
  </si>
  <si>
    <t>35.</t>
  </si>
  <si>
    <r>
      <t>MARKUP RATE</t>
    </r>
    <r>
      <rPr>
        <i/>
        <sz val="8"/>
        <rFont val="Arial Narrow"/>
        <family val="2"/>
      </rPr>
      <t xml:space="preserve"> </t>
    </r>
    <r>
      <rPr>
        <i/>
        <sz val="10"/>
        <rFont val="Arial"/>
        <family val="2"/>
      </rPr>
      <t>(Line 32 + 33 divided by 31)</t>
    </r>
  </si>
  <si>
    <t>CONTRACTING OFFICER APPROVAL</t>
  </si>
  <si>
    <r>
      <t xml:space="preserve">36.TYPED/PRINTED NAME OF CONTRACT-ING OFFICER </t>
    </r>
    <r>
      <rPr>
        <i/>
        <sz val="8"/>
        <rFont val="Arial Narrow"/>
        <family val="2"/>
      </rPr>
      <t>(Last, First, Middle Initial)</t>
    </r>
    <r>
      <rPr>
        <i/>
        <sz val="10"/>
        <rFont val="Arial Narrow"/>
        <family val="2"/>
      </rPr>
      <t xml:space="preserve">
</t>
    </r>
  </si>
  <si>
    <t>37.SIGNATURE OF CONTRACTING OFFICER</t>
  </si>
  <si>
    <t xml:space="preserve">38.TELEPHONE NO.
</t>
  </si>
  <si>
    <r>
      <t xml:space="preserve">39.DATE SUBMITTED 
</t>
    </r>
    <r>
      <rPr>
        <i/>
        <sz val="8"/>
        <rFont val="Arial Narrow"/>
        <family val="2"/>
      </rPr>
      <t>(YYYYMMDD)</t>
    </r>
  </si>
  <si>
    <t>OPTIONAL USE</t>
  </si>
  <si>
    <t>96.</t>
  </si>
  <si>
    <t>97.</t>
  </si>
  <si>
    <t>98.</t>
  </si>
  <si>
    <t>99.</t>
  </si>
  <si>
    <t>DD FORM 1547, JUL 2002</t>
  </si>
  <si>
    <t>PREVIOUS EDITION IS OBSOLETE.</t>
  </si>
  <si>
    <t>10  Contract Type Code</t>
  </si>
  <si>
    <t>11  Type Effort</t>
  </si>
  <si>
    <t>24  Contract Type Risk
215.404-71-3</t>
  </si>
  <si>
    <t>25  Working Capital Adjustment 
215.404-71-3</t>
  </si>
  <si>
    <t>29.  Contractor Facilities Capital Financed
215.404-71-4</t>
  </si>
  <si>
    <t>Contract Type</t>
  </si>
  <si>
    <t>Code</t>
  </si>
  <si>
    <t>Type of Work</t>
  </si>
  <si>
    <t>Contract Type Designated 
Range</t>
  </si>
  <si>
    <t>Contract Length in Months</t>
  </si>
  <si>
    <t>Length Factor</t>
  </si>
  <si>
    <t>Contractor Facilities Capital Finance Designated Range</t>
  </si>
  <si>
    <t>FPR</t>
  </si>
  <si>
    <t>A</t>
  </si>
  <si>
    <t>Manufacturing</t>
  </si>
  <si>
    <t>N/A</t>
  </si>
  <si>
    <t>FPI</t>
  </si>
  <si>
    <t>L</t>
  </si>
  <si>
    <t>R&amp;D</t>
  </si>
  <si>
    <t>&lt; 21</t>
  </si>
  <si>
    <t>FFP</t>
  </si>
  <si>
    <t>J</t>
  </si>
  <si>
    <t>Service</t>
  </si>
  <si>
    <t>22 - 27</t>
  </si>
  <si>
    <t>FP (E)</t>
  </si>
  <si>
    <t>K</t>
  </si>
  <si>
    <t>28 - 33</t>
  </si>
  <si>
    <t>CPFF</t>
  </si>
  <si>
    <t>U</t>
  </si>
  <si>
    <t>34 - 39</t>
  </si>
  <si>
    <t>CPIF</t>
  </si>
  <si>
    <t>Z</t>
  </si>
  <si>
    <t>40 - 45</t>
  </si>
  <si>
    <t>46 - 51</t>
  </si>
  <si>
    <t>52 - 57</t>
  </si>
  <si>
    <t>58 - 63</t>
  </si>
  <si>
    <t>64 - 69</t>
  </si>
  <si>
    <t>70 - 75</t>
  </si>
  <si>
    <t>&gt; 76</t>
  </si>
  <si>
    <t>21 - 22</t>
  </si>
  <si>
    <t>29  Cost Efficiency Factor</t>
  </si>
  <si>
    <t>Performance Risk Factors</t>
  </si>
  <si>
    <t>Note:  Contractor total was in error.  Proposed $144,000, a $1000 overstatement.</t>
  </si>
  <si>
    <r>
      <t xml:space="preserve">To </t>
    </r>
    <r>
      <rPr>
        <b/>
        <sz val="11"/>
        <color theme="1"/>
        <rFont val="Calibri"/>
        <family val="2"/>
        <scheme val="minor"/>
      </rPr>
      <t>View Comments</t>
    </r>
    <r>
      <rPr>
        <sz val="11"/>
        <color theme="1"/>
        <rFont val="Calibri"/>
        <family val="2"/>
        <scheme val="minor"/>
      </rPr>
      <t>, select the "</t>
    </r>
    <r>
      <rPr>
        <b/>
        <sz val="11"/>
        <color theme="1"/>
        <rFont val="Calibri"/>
        <family val="2"/>
        <scheme val="minor"/>
      </rPr>
      <t>Review</t>
    </r>
    <r>
      <rPr>
        <sz val="11"/>
        <color theme="1"/>
        <rFont val="Calibri"/>
        <family val="2"/>
        <scheme val="minor"/>
      </rPr>
      <t>" tab and click "</t>
    </r>
    <r>
      <rPr>
        <b/>
        <sz val="11"/>
        <color theme="1"/>
        <rFont val="Calibri"/>
        <family val="2"/>
        <scheme val="minor"/>
      </rPr>
      <t>Show All Comments</t>
    </r>
    <r>
      <rPr>
        <sz val="11"/>
        <color theme="1"/>
        <rFont val="Calibri"/>
        <family val="2"/>
        <scheme val="minor"/>
      </rPr>
      <t>"</t>
    </r>
  </si>
  <si>
    <r>
      <t xml:space="preserve">To </t>
    </r>
    <r>
      <rPr>
        <b/>
        <sz val="11"/>
        <color theme="1"/>
        <rFont val="Calibri"/>
        <family val="2"/>
        <scheme val="minor"/>
      </rPr>
      <t>Print Comments</t>
    </r>
    <r>
      <rPr>
        <sz val="11"/>
        <color theme="1"/>
        <rFont val="Calibri"/>
        <family val="2"/>
        <scheme val="minor"/>
      </rPr>
      <t xml:space="preserve">, select the </t>
    </r>
    <r>
      <rPr>
        <b/>
        <sz val="11"/>
        <color theme="1"/>
        <rFont val="Calibri"/>
        <family val="2"/>
        <scheme val="minor"/>
      </rPr>
      <t>"Page Layout</t>
    </r>
    <r>
      <rPr>
        <sz val="11"/>
        <color theme="1"/>
        <rFont val="Calibri"/>
        <family val="2"/>
        <scheme val="minor"/>
      </rPr>
      <t xml:space="preserve">" tab, click the dialog box next to </t>
    </r>
    <r>
      <rPr>
        <b/>
        <sz val="11"/>
        <color theme="1"/>
        <rFont val="Calibri"/>
        <family val="2"/>
        <scheme val="minor"/>
      </rPr>
      <t>Page Setup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</si>
  <si>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To see how comments are printed, you can click </t>
    </r>
    <r>
      <rPr>
        <b/>
        <sz val="10"/>
        <color rgb="FF454545"/>
        <rFont val="Arial"/>
        <family val="2"/>
      </rPr>
      <t>Print Preview</t>
    </r>
    <r>
      <rPr>
        <sz val="10"/>
        <color rgb="FF454545"/>
        <rFont val="Arial"/>
        <family val="2"/>
      </rPr>
      <t xml:space="preserve"> before you click </t>
    </r>
    <r>
      <rPr>
        <b/>
        <sz val="10"/>
        <color rgb="FF454545"/>
        <rFont val="Arial"/>
        <family val="2"/>
      </rPr>
      <t>Print</t>
    </r>
    <r>
      <rPr>
        <sz val="10"/>
        <color rgb="FF454545"/>
        <rFont val="Arial"/>
        <family val="2"/>
      </rPr>
      <t>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</si>
  <si>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Open a new blank workbook in Microsoft Excel.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</si>
  <si>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A2, enter “Cost Elements”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</si>
  <si>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B2, enter “Proposed Amount”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</si>
  <si>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Select Column B and format for dollars by clicking on the $ sign, located in the “Number” block on the “Home” ribbon.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</si>
  <si>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A3, enter “Material and Subcontracts”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</si>
  <si>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A4, enter “Purchased Parts (PP) &amp; Raw Materials (RM)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</si>
  <si>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A6, enter “Scrap @ 5% of PP/RM”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</si>
  <si>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A8, enter “Subcontracts”</t>
    </r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</si>
  <si>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Once your text is entered, you may resize the cells to a better fit.  You may also wrap the text to make the cell larger by right-clicking in the cell, then selecting “Format Cells”, then select the “Alignment” tab, look for the “Text control” section, and selecting “Wrap text.”</t>
    </r>
  </si>
  <si>
    <t>Borders may be added by highlighting the section to apply the border to and selecting the desired border from the border function in the “Font” section of the “Home” ribbon.</t>
  </si>
  <si>
    <r>
      <t xml:space="preserve">     Then, click "</t>
    </r>
    <r>
      <rPr>
        <b/>
        <sz val="11"/>
        <color theme="1"/>
        <rFont val="Calibri"/>
        <family val="2"/>
        <scheme val="minor"/>
      </rPr>
      <t>As displayed"</t>
    </r>
    <r>
      <rPr>
        <sz val="11"/>
        <color theme="1"/>
        <rFont val="Calibri"/>
        <family val="2"/>
        <scheme val="minor"/>
      </rPr>
      <t xml:space="preserve"> on sheet or "</t>
    </r>
    <r>
      <rPr>
        <b/>
        <sz val="11"/>
        <color theme="1"/>
        <rFont val="Calibri"/>
        <family val="2"/>
        <scheme val="minor"/>
      </rPr>
      <t>At end of sheet"</t>
    </r>
    <r>
      <rPr>
        <sz val="11"/>
        <color theme="1"/>
        <rFont val="Calibri"/>
        <family val="2"/>
        <scheme val="minor"/>
      </rPr>
      <t>, whichever you desire.</t>
    </r>
  </si>
  <si>
    <t>INSTRUCTIONS FOR BUILDING PROPOSAL SPREADSHEET</t>
  </si>
  <si>
    <t>Negotiated Amount</t>
  </si>
  <si>
    <t>INSTRUCTIONS FOR VIEWING OR PRINTING COMMENTS</t>
  </si>
  <si>
    <t xml:space="preserve"> </t>
  </si>
  <si>
    <t>BLS Median Wage Rate (AK)</t>
  </si>
  <si>
    <t>Facilities Capital Cost of Money @ .00241 of TCI</t>
  </si>
  <si>
    <t>General &amp; Administrative Expense @ 15% of TCI</t>
  </si>
  <si>
    <t>Labor Overhead @ 135%</t>
  </si>
  <si>
    <t>Laborer 2</t>
  </si>
  <si>
    <t>G&amp;A</t>
  </si>
  <si>
    <t>Subtotal inc G&amp;A</t>
  </si>
  <si>
    <t>Profit</t>
  </si>
  <si>
    <t>Total incl Profit</t>
  </si>
  <si>
    <t>BLS Mean Wage Rate (AK)</t>
  </si>
  <si>
    <t>BLS Mean Annual Salary (AK)</t>
  </si>
  <si>
    <t>BLS Median Annual Salary (AK)</t>
  </si>
  <si>
    <t>Direct Labor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</si>
  <si>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cell A1, enter “Contractor’s Proposal”.  Merge and Center cells A1 through C1.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</si>
  <si>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A10, enter “Total Material Costs”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</si>
  <si>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A12, enter “Civil Engineering Labor”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</si>
  <si>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B12, enter “144000” from contractor’s proposal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</si>
  <si>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A14, enter “Labor Overhead @ 135%”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</si>
  <si>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A16, enter “Other Direct Costs”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</si>
  <si>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B16, enter “77665.97” from contractor’s proposal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</si>
  <si>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A18, enter “Subtotal”</t>
    </r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</si>
  <si>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In cell A21, enter “General &amp; Administrative Expense @ 15% of TCI”  </t>
    </r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</si>
  <si>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A23, enter “Facilities Capital Cost of Money @ 0.00241 of TCI”</t>
    </r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</si>
  <si>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A25, enter “Profit @ 10%”</t>
    </r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</si>
  <si>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A27, enter “Price”</t>
    </r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</si>
  <si>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A29, enter “Bonding Costs @ 2.5% of Price”</t>
    </r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</si>
  <si>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A31, enter “Total Price including Bonding”</t>
    </r>
  </si>
  <si>
    <t>Purchased Parts &amp; Raw Material</t>
  </si>
  <si>
    <t>Scrap @ 5% of PP/RM</t>
  </si>
  <si>
    <t>Architectural Drafter I</t>
  </si>
  <si>
    <t>HVAC Mechanic I</t>
  </si>
  <si>
    <t>Office Furnishings</t>
  </si>
  <si>
    <t>- Negative questioned amounts represent items being moved from Direct Material to ODCs a total of $12,766.39</t>
  </si>
  <si>
    <t>Direct Material Trans to ODCs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</si>
  <si>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 cell B4, enter “$412805.99” from contractor’s proposal.  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</si>
  <si>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B6, enter the formula “=B4*0.05”  This will calculate the product of the value in cell B5 and the 5% scrap rate proposed.  Check yourself:  the calculated value is $20,640.30.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</si>
  <si>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B8, enter “643,834.38” from contractor’s proposal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</si>
  <si>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B10, enter the formula “=SUM(B4:B8)”  This action will calculate the sum all costs entered in cells B4 through B8.  Check yourself:  the calculated value is $1,077,280.67.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</si>
  <si>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B14, enter the formula “=B12*1.35”  This will calculate the product of the value in cell B12 and the 135% overhead rate proposed.  Check yourself:  the calculated value is $194,400.00.</t>
    </r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</si>
  <si>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B18, enter the formula “=SUM(B10:B16)”  This action will calculate the sum all costs entered in cells B10 through B16.  Check yourself:  the calculated value is $1,493,346.64.</t>
    </r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</si>
  <si>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B21, enter “=B18*0.15”  This will calculate the product of the value in cell B18 and the 15% overhead rate proposed.  Check yourself:  the calculated value is $224,002.00.</t>
    </r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</si>
  <si>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B23, enter =0.00241*B18  Check yourself:  the calculated value is $3598.97</t>
    </r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</si>
  <si>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B25, enter the formula “=(B18+B21+B23)*0.1”  This will calculate the product of the value in cell B25 and the 10% profit rate proposed.  Check yourself:  the calculated value is $172,094.76.</t>
    </r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</si>
  <si>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B27, enter the formula “=SUM(B18:B25)”  This action will calculate the sum all costs entered in cells B18 through B25.  Check yourself:  the calculated value is $1,893,042.36.</t>
    </r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</si>
  <si>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B29, enter the formula “=B27*0.025”  This will calculate the product of the value in cell B31 and the 2.5% bonding rate proposed.  Check yourself:  the calculated value is $47,326.06.</t>
    </r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</si>
  <si>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 cell B31, enter the formula “=SUM(B27:B29)”  This action will calculate the sum all costs entered in cells B27 through B29.  Check yourself:  the calculated value is $1,940,368.42.</t>
    </r>
  </si>
  <si>
    <t>Payroll Taxes and Fringe Benefits</t>
  </si>
  <si>
    <t>Total Subcontracts: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</si>
</sst>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0.0000"/>
    <numFmt numFmtId="169" formatCode="yyyy\-mm\-dd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indexed="10"/>
      <name val="Arial"/>
      <family val="2"/>
    </font>
    <font>
      <sz val="10"/>
      <name val="Courier"/>
      <family val="3"/>
    </font>
    <font>
      <b/>
      <sz val="12"/>
      <color indexed="10"/>
      <name val="Courier"/>
      <family val="3"/>
    </font>
    <font>
      <b/>
      <sz val="12"/>
      <color indexed="12"/>
      <name val="Courier"/>
      <family val="3"/>
    </font>
    <font>
      <b/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sz val="8"/>
      <name val="Arial Narrow"/>
      <family val="2"/>
    </font>
    <font>
      <b/>
      <sz val="10"/>
      <color indexed="48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i/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b/>
      <i/>
      <sz val="10"/>
      <name val="Arial"/>
      <family val="2"/>
    </font>
    <font>
      <b/>
      <sz val="10"/>
      <color indexed="62"/>
      <name val="Tahoma"/>
      <family val="2"/>
    </font>
    <font>
      <b/>
      <i/>
      <sz val="10"/>
      <color indexed="62"/>
      <name val="Tahoma"/>
      <family val="2"/>
    </font>
    <font>
      <sz val="10"/>
      <color indexed="62"/>
      <name val="Tahoma"/>
      <family val="2"/>
    </font>
    <font>
      <i/>
      <sz val="10"/>
      <color indexed="62"/>
      <name val="Tahoma"/>
      <family val="2"/>
    </font>
    <font>
      <sz val="10"/>
      <color rgb="FF454545"/>
      <name val="Arial"/>
      <family val="2"/>
    </font>
    <font>
      <b/>
      <sz val="10"/>
      <color rgb="FF454545"/>
      <name val="Arial"/>
      <family val="2"/>
    </font>
    <font>
      <sz val="7"/>
      <color theme="1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13">
    <xf numFmtId="0" fontId="0" fillId="0" borderId="0" xfId="0"/>
    <xf numFmtId="0" fontId="4" fillId="0" borderId="0" xfId="0" applyFont="1"/>
    <xf numFmtId="44" fontId="4" fillId="0" borderId="0" xfId="1" applyFont="1"/>
    <xf numFmtId="44" fontId="4" fillId="0" borderId="0" xfId="1" applyFont="1" applyBorder="1"/>
    <xf numFmtId="0" fontId="4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6" fontId="6" fillId="0" borderId="5" xfId="0" applyNumberFormat="1" applyFont="1" applyBorder="1" applyAlignment="1">
      <alignment vertical="top" wrapText="1"/>
    </xf>
    <xf numFmtId="10" fontId="6" fillId="0" borderId="5" xfId="0" applyNumberFormat="1" applyFont="1" applyBorder="1" applyAlignment="1">
      <alignment vertical="top" wrapText="1"/>
    </xf>
    <xf numFmtId="9" fontId="6" fillId="0" borderId="5" xfId="0" applyNumberFormat="1" applyFont="1" applyBorder="1" applyAlignment="1">
      <alignment vertical="top" wrapText="1"/>
    </xf>
    <xf numFmtId="44" fontId="10" fillId="0" borderId="0" xfId="1" applyFont="1" applyFill="1" applyBorder="1" applyAlignment="1">
      <alignment vertical="top" wrapText="1"/>
    </xf>
    <xf numFmtId="10" fontId="0" fillId="0" borderId="0" xfId="2" applyNumberFormat="1" applyFont="1"/>
    <xf numFmtId="0" fontId="5" fillId="0" borderId="0" xfId="0" applyFont="1" applyAlignment="1">
      <alignment horizontal="center" wrapText="1"/>
    </xf>
    <xf numFmtId="0" fontId="12" fillId="0" borderId="0" xfId="0" applyFont="1"/>
    <xf numFmtId="0" fontId="4" fillId="0" borderId="6" xfId="0" applyFont="1" applyBorder="1" applyAlignment="1">
      <alignment wrapText="1"/>
    </xf>
    <xf numFmtId="44" fontId="4" fillId="0" borderId="6" xfId="1" applyFont="1" applyBorder="1"/>
    <xf numFmtId="0" fontId="5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 wrapText="1"/>
    </xf>
    <xf numFmtId="0" fontId="12" fillId="0" borderId="7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10" fontId="4" fillId="0" borderId="11" xfId="0" applyNumberFormat="1" applyFont="1" applyBorder="1"/>
    <xf numFmtId="44" fontId="4" fillId="0" borderId="11" xfId="1" applyFont="1" applyBorder="1"/>
    <xf numFmtId="9" fontId="4" fillId="0" borderId="11" xfId="1" applyNumberFormat="1" applyFont="1" applyBorder="1"/>
    <xf numFmtId="10" fontId="4" fillId="0" borderId="11" xfId="1" applyNumberFormat="1" applyFont="1" applyBorder="1"/>
    <xf numFmtId="9" fontId="4" fillId="0" borderId="11" xfId="2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4" fillId="0" borderId="14" xfId="0" applyFont="1" applyBorder="1"/>
    <xf numFmtId="44" fontId="0" fillId="0" borderId="0" xfId="1" applyFont="1"/>
    <xf numFmtId="0" fontId="0" fillId="0" borderId="0" xfId="0" applyAlignment="1">
      <alignment wrapText="1"/>
    </xf>
    <xf numFmtId="0" fontId="16" fillId="0" borderId="0" xfId="5" applyFont="1"/>
    <xf numFmtId="0" fontId="22" fillId="0" borderId="32" xfId="0" applyFont="1" applyBorder="1" applyAlignment="1">
      <alignment vertical="top"/>
    </xf>
    <xf numFmtId="0" fontId="22" fillId="0" borderId="32" xfId="0" applyFont="1" applyBorder="1" applyAlignment="1">
      <alignment vertical="top" wrapText="1"/>
    </xf>
    <xf numFmtId="0" fontId="23" fillId="0" borderId="34" xfId="0" applyFont="1" applyBorder="1" applyAlignment="1">
      <alignment vertical="top"/>
    </xf>
    <xf numFmtId="0" fontId="22" fillId="0" borderId="35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/>
    <xf numFmtId="49" fontId="21" fillId="0" borderId="35" xfId="0" applyNumberFormat="1" applyFont="1" applyBorder="1" applyAlignment="1">
      <alignment horizontal="center" vertical="top"/>
    </xf>
    <xf numFmtId="0" fontId="21" fillId="0" borderId="22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21" fillId="0" borderId="1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4" fillId="0" borderId="39" xfId="0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166" fontId="20" fillId="0" borderId="26" xfId="2" applyNumberFormat="1" applyFont="1" applyBorder="1" applyAlignment="1" applyProtection="1">
      <alignment horizontal="right" vertical="center"/>
    </xf>
    <xf numFmtId="9" fontId="18" fillId="2" borderId="28" xfId="2" applyFont="1" applyFill="1" applyBorder="1" applyAlignment="1" applyProtection="1">
      <alignment horizontal="right" vertical="center"/>
      <protection locked="0"/>
    </xf>
    <xf numFmtId="0" fontId="20" fillId="0" borderId="26" xfId="0" applyFont="1" applyBorder="1" applyAlignment="1">
      <alignment horizontal="right" vertical="center"/>
    </xf>
    <xf numFmtId="0" fontId="18" fillId="2" borderId="28" xfId="0" applyFont="1" applyFill="1" applyBorder="1" applyAlignment="1">
      <alignment horizontal="right" vertical="center"/>
    </xf>
    <xf numFmtId="166" fontId="20" fillId="0" borderId="26" xfId="2" applyNumberFormat="1" applyFont="1" applyBorder="1" applyAlignment="1">
      <alignment horizontal="right" vertical="center"/>
    </xf>
    <xf numFmtId="49" fontId="21" fillId="0" borderId="38" xfId="0" applyNumberFormat="1" applyFont="1" applyBorder="1" applyAlignment="1">
      <alignment horizontal="center" vertical="center"/>
    </xf>
    <xf numFmtId="167" fontId="20" fillId="0" borderId="26" xfId="2" applyNumberFormat="1" applyFont="1" applyBorder="1" applyAlignment="1">
      <alignment vertical="center"/>
    </xf>
    <xf numFmtId="10" fontId="18" fillId="3" borderId="28" xfId="2" applyNumberFormat="1" applyFont="1" applyFill="1" applyBorder="1" applyAlignment="1">
      <alignment vertical="center"/>
    </xf>
    <xf numFmtId="168" fontId="0" fillId="0" borderId="0" xfId="0" applyNumberFormat="1"/>
    <xf numFmtId="0" fontId="21" fillId="0" borderId="26" xfId="0" applyFont="1" applyBorder="1" applyAlignment="1">
      <alignment horizontal="right" vertical="center"/>
    </xf>
    <xf numFmtId="167" fontId="18" fillId="2" borderId="28" xfId="2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9" fontId="21" fillId="0" borderId="6" xfId="2" applyFont="1" applyBorder="1" applyAlignment="1" applyProtection="1">
      <alignment horizontal="right" vertical="center"/>
      <protection locked="0"/>
    </xf>
    <xf numFmtId="166" fontId="18" fillId="6" borderId="28" xfId="2" applyNumberFormat="1" applyFont="1" applyFill="1" applyBorder="1" applyAlignment="1" applyProtection="1">
      <alignment horizontal="right" vertical="center"/>
      <protection locked="0"/>
    </xf>
    <xf numFmtId="0" fontId="20" fillId="0" borderId="3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28" xfId="0" applyFont="1" applyBorder="1" applyAlignment="1">
      <alignment horizontal="centerContinuous" vertical="center"/>
    </xf>
    <xf numFmtId="0" fontId="21" fillId="5" borderId="26" xfId="0" applyFont="1" applyFill="1" applyBorder="1" applyAlignment="1">
      <alignment horizontal="right" vertical="center"/>
    </xf>
    <xf numFmtId="0" fontId="21" fillId="5" borderId="28" xfId="0" applyFont="1" applyFill="1" applyBorder="1" applyAlignment="1">
      <alignment horizontal="right" vertical="center"/>
    </xf>
    <xf numFmtId="0" fontId="20" fillId="5" borderId="26" xfId="0" applyFont="1" applyFill="1" applyBorder="1" applyAlignment="1">
      <alignment horizontal="right" vertical="center"/>
    </xf>
    <xf numFmtId="1" fontId="20" fillId="5" borderId="28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7" fontId="18" fillId="2" borderId="28" xfId="0" applyNumberFormat="1" applyFont="1" applyFill="1" applyBorder="1" applyAlignment="1">
      <alignment horizontal="right" vertical="center"/>
    </xf>
    <xf numFmtId="43" fontId="0" fillId="0" borderId="0" xfId="3" applyFont="1" applyBorder="1"/>
    <xf numFmtId="0" fontId="18" fillId="0" borderId="0" xfId="0" applyFont="1" applyBorder="1" applyAlignment="1">
      <alignment horizontal="center"/>
    </xf>
    <xf numFmtId="0" fontId="20" fillId="0" borderId="26" xfId="0" applyFont="1" applyFill="1" applyBorder="1" applyAlignment="1">
      <alignment horizontal="right" vertical="center"/>
    </xf>
    <xf numFmtId="167" fontId="18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0" fontId="0" fillId="0" borderId="0" xfId="0" applyBorder="1"/>
    <xf numFmtId="0" fontId="29" fillId="0" borderId="0" xfId="0" applyFont="1" applyAlignment="1">
      <alignment vertical="top"/>
    </xf>
    <xf numFmtId="0" fontId="24" fillId="0" borderId="0" xfId="0" applyFont="1" applyBorder="1" applyAlignment="1">
      <alignment horizontal="centerContinuous" vertical="top"/>
    </xf>
    <xf numFmtId="0" fontId="20" fillId="0" borderId="0" xfId="0" applyFont="1" applyBorder="1" applyAlignment="1">
      <alignment horizontal="centerContinuous" vertical="top"/>
    </xf>
    <xf numFmtId="0" fontId="0" fillId="0" borderId="0" xfId="0" applyAlignment="1">
      <alignment vertical="top"/>
    </xf>
    <xf numFmtId="0" fontId="14" fillId="0" borderId="0" xfId="4" applyFont="1" applyAlignment="1" applyProtection="1"/>
    <xf numFmtId="0" fontId="17" fillId="0" borderId="0" xfId="5" applyFont="1" applyBorder="1" applyAlignment="1">
      <alignment horizontal="center"/>
    </xf>
    <xf numFmtId="49" fontId="18" fillId="0" borderId="0" xfId="0" applyNumberFormat="1" applyFont="1" applyFill="1"/>
    <xf numFmtId="49" fontId="25" fillId="0" borderId="0" xfId="0" applyNumberFormat="1" applyFont="1" applyFill="1"/>
    <xf numFmtId="0" fontId="0" fillId="0" borderId="0" xfId="0" applyFill="1"/>
    <xf numFmtId="0" fontId="18" fillId="7" borderId="48" xfId="0" applyFont="1" applyFill="1" applyBorder="1" applyAlignment="1">
      <alignment horizontal="centerContinuous" vertical="center" wrapText="1"/>
    </xf>
    <xf numFmtId="0" fontId="18" fillId="7" borderId="49" xfId="0" applyFont="1" applyFill="1" applyBorder="1" applyAlignment="1">
      <alignment horizontal="centerContinuous" vertical="center" wrapText="1"/>
    </xf>
    <xf numFmtId="0" fontId="18" fillId="7" borderId="50" xfId="0" applyFont="1" applyFill="1" applyBorder="1" applyAlignment="1">
      <alignment horizontal="center" wrapText="1"/>
    </xf>
    <xf numFmtId="0" fontId="18" fillId="7" borderId="48" xfId="0" applyFont="1" applyFill="1" applyBorder="1" applyAlignment="1">
      <alignment horizontal="centerContinuous" wrapText="1"/>
    </xf>
    <xf numFmtId="0" fontId="18" fillId="7" borderId="49" xfId="0" applyFont="1" applyFill="1" applyBorder="1" applyAlignment="1">
      <alignment horizontal="centerContinuous" wrapText="1"/>
    </xf>
    <xf numFmtId="0" fontId="20" fillId="3" borderId="39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0" fontId="0" fillId="0" borderId="24" xfId="0" applyBorder="1"/>
    <xf numFmtId="0" fontId="0" fillId="0" borderId="37" xfId="0" applyBorder="1"/>
    <xf numFmtId="0" fontId="0" fillId="0" borderId="10" xfId="0" applyBorder="1"/>
    <xf numFmtId="0" fontId="0" fillId="0" borderId="40" xfId="0" applyBorder="1"/>
    <xf numFmtId="0" fontId="0" fillId="0" borderId="52" xfId="0" applyBorder="1"/>
    <xf numFmtId="167" fontId="0" fillId="0" borderId="53" xfId="2" applyNumberFormat="1" applyFont="1" applyBorder="1"/>
    <xf numFmtId="0" fontId="0" fillId="0" borderId="10" xfId="0" quotePrefix="1" applyBorder="1"/>
    <xf numFmtId="2" fontId="0" fillId="0" borderId="40" xfId="0" applyNumberFormat="1" applyBorder="1"/>
    <xf numFmtId="0" fontId="0" fillId="0" borderId="12" xfId="0" applyBorder="1"/>
    <xf numFmtId="0" fontId="0" fillId="0" borderId="54" xfId="0" applyBorder="1"/>
    <xf numFmtId="0" fontId="20" fillId="3" borderId="50" xfId="0" applyFont="1" applyFill="1" applyBorder="1" applyAlignment="1">
      <alignment horizontal="center" wrapText="1"/>
    </xf>
    <xf numFmtId="1" fontId="0" fillId="0" borderId="53" xfId="2" applyNumberFormat="1" applyFont="1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9" fontId="0" fillId="0" borderId="53" xfId="2" applyFont="1" applyBorder="1"/>
    <xf numFmtId="0" fontId="26" fillId="0" borderId="2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43" fontId="18" fillId="0" borderId="0" xfId="3" applyFont="1" applyFill="1" applyBorder="1" applyAlignment="1">
      <alignment horizontal="center"/>
    </xf>
    <xf numFmtId="167" fontId="18" fillId="0" borderId="0" xfId="2" applyNumberFormat="1" applyFont="1" applyFill="1" applyBorder="1" applyAlignment="1">
      <alignment horizontal="center"/>
    </xf>
    <xf numFmtId="0" fontId="18" fillId="0" borderId="0" xfId="0" applyFont="1" applyFill="1" applyBorder="1"/>
    <xf numFmtId="0" fontId="37" fillId="0" borderId="0" xfId="0" applyFont="1" applyAlignment="1">
      <alignment horizontal="left" indent="2"/>
    </xf>
    <xf numFmtId="0" fontId="37" fillId="0" borderId="0" xfId="0" applyFont="1" applyAlignment="1">
      <alignment horizontal="left" indent="4"/>
    </xf>
    <xf numFmtId="0" fontId="37" fillId="0" borderId="0" xfId="0" applyFont="1" applyAlignment="1"/>
    <xf numFmtId="0" fontId="0" fillId="0" borderId="0" xfId="0" applyAlignment="1">
      <alignment horizontal="left" wrapText="1"/>
    </xf>
    <xf numFmtId="0" fontId="5" fillId="0" borderId="20" xfId="0" applyFont="1" applyBorder="1"/>
    <xf numFmtId="0" fontId="0" fillId="0" borderId="6" xfId="0" applyBorder="1"/>
    <xf numFmtId="164" fontId="0" fillId="0" borderId="6" xfId="0" applyNumberFormat="1" applyBorder="1"/>
    <xf numFmtId="0" fontId="4" fillId="0" borderId="57" xfId="0" applyFont="1" applyBorder="1"/>
    <xf numFmtId="44" fontId="4" fillId="0" borderId="9" xfId="1" applyFont="1" applyBorder="1"/>
    <xf numFmtId="0" fontId="4" fillId="0" borderId="39" xfId="0" applyFont="1" applyBorder="1"/>
    <xf numFmtId="0" fontId="4" fillId="0" borderId="58" xfId="0" applyFont="1" applyBorder="1" applyAlignment="1">
      <alignment horizontal="right"/>
    </xf>
    <xf numFmtId="44" fontId="4" fillId="0" borderId="14" xfId="1" applyFont="1" applyBorder="1"/>
    <xf numFmtId="0" fontId="0" fillId="0" borderId="35" xfId="0" applyBorder="1"/>
    <xf numFmtId="164" fontId="0" fillId="0" borderId="35" xfId="0" applyNumberFormat="1" applyBorder="1"/>
    <xf numFmtId="0" fontId="0" fillId="0" borderId="59" xfId="0" applyBorder="1"/>
    <xf numFmtId="164" fontId="0" fillId="0" borderId="60" xfId="0" applyNumberFormat="1" applyBorder="1"/>
    <xf numFmtId="0" fontId="0" fillId="0" borderId="32" xfId="0" applyBorder="1"/>
    <xf numFmtId="164" fontId="0" fillId="0" borderId="32" xfId="0" applyNumberFormat="1" applyBorder="1"/>
    <xf numFmtId="0" fontId="5" fillId="0" borderId="59" xfId="0" applyFont="1" applyBorder="1"/>
    <xf numFmtId="164" fontId="5" fillId="0" borderId="60" xfId="0" applyNumberFormat="1" applyFont="1" applyBorder="1"/>
    <xf numFmtId="0" fontId="8" fillId="0" borderId="6" xfId="0" applyFont="1" applyBorder="1"/>
    <xf numFmtId="0" fontId="9" fillId="0" borderId="6" xfId="0" applyFont="1" applyBorder="1"/>
    <xf numFmtId="6" fontId="9" fillId="0" borderId="6" xfId="0" applyNumberFormat="1" applyFont="1" applyBorder="1"/>
    <xf numFmtId="8" fontId="9" fillId="0" borderId="6" xfId="0" applyNumberFormat="1" applyFont="1" applyBorder="1"/>
    <xf numFmtId="0" fontId="8" fillId="0" borderId="57" xfId="0" applyFont="1" applyBorder="1"/>
    <xf numFmtId="0" fontId="8" fillId="0" borderId="8" xfId="0" applyFont="1" applyBorder="1"/>
    <xf numFmtId="0" fontId="8" fillId="0" borderId="9" xfId="0" applyFont="1" applyBorder="1" applyAlignment="1">
      <alignment horizontal="right"/>
    </xf>
    <xf numFmtId="0" fontId="8" fillId="0" borderId="39" xfId="0" applyFont="1" applyBorder="1"/>
    <xf numFmtId="0" fontId="8" fillId="0" borderId="11" xfId="0" applyFont="1" applyBorder="1" applyAlignment="1">
      <alignment horizontal="right"/>
    </xf>
    <xf numFmtId="0" fontId="9" fillId="0" borderId="39" xfId="0" applyFont="1" applyBorder="1"/>
    <xf numFmtId="6" fontId="9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58" xfId="0" applyFont="1" applyBorder="1"/>
    <xf numFmtId="8" fontId="8" fillId="0" borderId="13" xfId="0" applyNumberFormat="1" applyFont="1" applyBorder="1"/>
    <xf numFmtId="8" fontId="8" fillId="0" borderId="14" xfId="0" applyNumberFormat="1" applyFont="1" applyBorder="1" applyAlignment="1">
      <alignment horizontal="right"/>
    </xf>
    <xf numFmtId="0" fontId="5" fillId="0" borderId="0" xfId="0" applyFont="1"/>
    <xf numFmtId="10" fontId="5" fillId="0" borderId="0" xfId="2" applyNumberFormat="1" applyFont="1"/>
    <xf numFmtId="2" fontId="4" fillId="0" borderId="6" xfId="0" applyNumberFormat="1" applyFont="1" applyBorder="1"/>
    <xf numFmtId="0" fontId="4" fillId="0" borderId="57" xfId="0" applyFont="1" applyBorder="1" applyAlignment="1">
      <alignment horizontal="center"/>
    </xf>
    <xf numFmtId="44" fontId="4" fillId="0" borderId="8" xfId="1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1" xfId="0" applyNumberFormat="1" applyFont="1" applyBorder="1"/>
    <xf numFmtId="0" fontId="4" fillId="0" borderId="3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2" fontId="4" fillId="0" borderId="40" xfId="0" applyNumberFormat="1" applyFont="1" applyBorder="1"/>
    <xf numFmtId="0" fontId="4" fillId="0" borderId="43" xfId="0" applyFont="1" applyBorder="1" applyAlignment="1">
      <alignment horizontal="left"/>
    </xf>
    <xf numFmtId="44" fontId="4" fillId="0" borderId="44" xfId="1" applyFont="1" applyBorder="1"/>
    <xf numFmtId="0" fontId="4" fillId="0" borderId="44" xfId="0" applyFont="1" applyBorder="1"/>
    <xf numFmtId="37" fontId="4" fillId="0" borderId="47" xfId="1" applyNumberFormat="1" applyFont="1" applyBorder="1"/>
    <xf numFmtId="44" fontId="4" fillId="0" borderId="6" xfId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4" fontId="0" fillId="0" borderId="6" xfId="1" applyFont="1" applyBorder="1" applyAlignment="1">
      <alignment wrapText="1"/>
    </xf>
    <xf numFmtId="44" fontId="0" fillId="0" borderId="6" xfId="1" applyFont="1" applyBorder="1"/>
    <xf numFmtId="0" fontId="4" fillId="0" borderId="48" xfId="0" applyFont="1" applyBorder="1" applyAlignment="1">
      <alignment horizontal="left"/>
    </xf>
    <xf numFmtId="44" fontId="4" fillId="0" borderId="61" xfId="1" applyFont="1" applyBorder="1"/>
    <xf numFmtId="0" fontId="4" fillId="0" borderId="61" xfId="0" applyFont="1" applyBorder="1"/>
    <xf numFmtId="44" fontId="0" fillId="0" borderId="15" xfId="1" applyFont="1" applyBorder="1"/>
    <xf numFmtId="0" fontId="0" fillId="0" borderId="18" xfId="0" applyBorder="1"/>
    <xf numFmtId="0" fontId="4" fillId="0" borderId="0" xfId="0" applyFont="1" applyBorder="1"/>
    <xf numFmtId="37" fontId="4" fillId="0" borderId="0" xfId="1" applyNumberFormat="1" applyFont="1" applyBorder="1"/>
    <xf numFmtId="44" fontId="0" fillId="0" borderId="0" xfId="1" applyFont="1" applyBorder="1"/>
    <xf numFmtId="0" fontId="4" fillId="0" borderId="39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63" xfId="0" applyBorder="1"/>
    <xf numFmtId="37" fontId="11" fillId="0" borderId="62" xfId="1" applyNumberFormat="1" applyFont="1" applyBorder="1"/>
    <xf numFmtId="44" fontId="11" fillId="0" borderId="6" xfId="1" applyFont="1" applyBorder="1"/>
    <xf numFmtId="8" fontId="4" fillId="0" borderId="0" xfId="0" applyNumberFormat="1" applyFont="1"/>
    <xf numFmtId="0" fontId="5" fillId="0" borderId="39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4" fillId="0" borderId="28" xfId="0" applyFont="1" applyBorder="1"/>
    <xf numFmtId="44" fontId="4" fillId="0" borderId="28" xfId="1" applyFont="1" applyBorder="1"/>
    <xf numFmtId="44" fontId="4" fillId="0" borderId="28" xfId="0" applyNumberFormat="1" applyFont="1" applyBorder="1"/>
    <xf numFmtId="8" fontId="4" fillId="0" borderId="28" xfId="0" applyNumberFormat="1" applyFont="1" applyBorder="1"/>
    <xf numFmtId="44" fontId="5" fillId="0" borderId="45" xfId="1" applyFont="1" applyBorder="1"/>
    <xf numFmtId="0" fontId="12" fillId="0" borderId="64" xfId="0" applyFont="1" applyBorder="1" applyAlignment="1"/>
    <xf numFmtId="0" fontId="5" fillId="0" borderId="51" xfId="0" applyFont="1" applyBorder="1" applyAlignment="1">
      <alignment horizontal="center" wrapText="1"/>
    </xf>
    <xf numFmtId="0" fontId="4" fillId="0" borderId="51" xfId="0" applyFont="1" applyBorder="1"/>
    <xf numFmtId="0" fontId="4" fillId="0" borderId="64" xfId="0" applyFont="1" applyBorder="1"/>
    <xf numFmtId="0" fontId="4" fillId="0" borderId="53" xfId="0" applyFont="1" applyBorder="1"/>
    <xf numFmtId="44" fontId="5" fillId="0" borderId="11" xfId="1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4" fillId="0" borderId="39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0" borderId="39" xfId="0" applyFont="1" applyBorder="1"/>
    <xf numFmtId="8" fontId="4" fillId="0" borderId="11" xfId="1" applyNumberFormat="1" applyFont="1" applyBorder="1"/>
    <xf numFmtId="0" fontId="5" fillId="0" borderId="58" xfId="0" applyFont="1" applyBorder="1" applyAlignment="1">
      <alignment wrapText="1"/>
    </xf>
    <xf numFmtId="44" fontId="5" fillId="0" borderId="14" xfId="1" applyFont="1" applyBorder="1"/>
    <xf numFmtId="0" fontId="12" fillId="0" borderId="27" xfId="0" applyFont="1" applyBorder="1" applyAlignment="1"/>
    <xf numFmtId="0" fontId="5" fillId="0" borderId="27" xfId="0" applyFont="1" applyBorder="1" applyAlignment="1">
      <alignment horizontal="center" wrapText="1"/>
    </xf>
    <xf numFmtId="0" fontId="4" fillId="0" borderId="27" xfId="0" applyFont="1" applyBorder="1"/>
    <xf numFmtId="0" fontId="5" fillId="0" borderId="1" xfId="0" applyFont="1" applyBorder="1"/>
    <xf numFmtId="44" fontId="4" fillId="0" borderId="39" xfId="1" applyFont="1" applyBorder="1"/>
    <xf numFmtId="44" fontId="4" fillId="0" borderId="39" xfId="0" applyNumberFormat="1" applyFont="1" applyBorder="1"/>
    <xf numFmtId="8" fontId="4" fillId="0" borderId="39" xfId="0" applyNumberFormat="1" applyFont="1" applyBorder="1"/>
    <xf numFmtId="44" fontId="5" fillId="0" borderId="58" xfId="1" applyFont="1" applyBorder="1"/>
    <xf numFmtId="0" fontId="4" fillId="0" borderId="10" xfId="0" applyFont="1" applyBorder="1" applyAlignment="1">
      <alignment horizontal="right"/>
    </xf>
    <xf numFmtId="9" fontId="4" fillId="0" borderId="0" xfId="1" applyNumberFormat="1" applyFont="1" applyBorder="1"/>
    <xf numFmtId="44" fontId="0" fillId="0" borderId="26" xfId="1" applyFont="1" applyBorder="1" applyAlignment="1">
      <alignment wrapText="1"/>
    </xf>
    <xf numFmtId="44" fontId="0" fillId="0" borderId="26" xfId="1" applyFont="1" applyBorder="1"/>
    <xf numFmtId="10" fontId="5" fillId="0" borderId="63" xfId="1" applyNumberFormat="1" applyFont="1" applyBorder="1"/>
    <xf numFmtId="44" fontId="11" fillId="0" borderId="26" xfId="1" applyFont="1" applyBorder="1"/>
    <xf numFmtId="0" fontId="4" fillId="0" borderId="39" xfId="0" applyFont="1" applyBorder="1" applyAlignment="1">
      <alignment horizontal="left" wrapText="1" indent="1"/>
    </xf>
    <xf numFmtId="167" fontId="4" fillId="0" borderId="11" xfId="2" applyNumberFormat="1" applyFont="1" applyBorder="1"/>
    <xf numFmtId="7" fontId="4" fillId="0" borderId="39" xfId="1" applyNumberFormat="1" applyFont="1" applyBorder="1"/>
    <xf numFmtId="0" fontId="4" fillId="0" borderId="0" xfId="0" quotePrefix="1" applyFont="1"/>
    <xf numFmtId="0" fontId="0" fillId="0" borderId="65" xfId="0" applyBorder="1"/>
    <xf numFmtId="0" fontId="5" fillId="0" borderId="65" xfId="0" applyFont="1" applyBorder="1"/>
    <xf numFmtId="44" fontId="0" fillId="0" borderId="0" xfId="0" applyNumberFormat="1"/>
    <xf numFmtId="9" fontId="4" fillId="0" borderId="6" xfId="2" applyFont="1" applyBorder="1"/>
    <xf numFmtId="0" fontId="5" fillId="0" borderId="63" xfId="0" applyFont="1" applyBorder="1"/>
    <xf numFmtId="0" fontId="12" fillId="0" borderId="5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0" fillId="0" borderId="0" xfId="0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top"/>
    </xf>
    <xf numFmtId="0" fontId="20" fillId="0" borderId="23" xfId="0" applyFont="1" applyBorder="1" applyAlignment="1">
      <alignment horizontal="center" vertical="top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31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6" xfId="0" applyFont="1" applyBorder="1" applyProtection="1">
      <protection locked="0"/>
    </xf>
    <xf numFmtId="0" fontId="21" fillId="0" borderId="27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21" fillId="0" borderId="29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26" xfId="0" applyFont="1" applyBorder="1" applyAlignment="1"/>
    <xf numFmtId="0" fontId="21" fillId="0" borderId="30" xfId="0" applyFont="1" applyBorder="1" applyAlignment="1"/>
    <xf numFmtId="0" fontId="22" fillId="0" borderId="29" xfId="0" applyFont="1" applyBorder="1" applyAlignment="1">
      <alignment vertical="top"/>
    </xf>
    <xf numFmtId="0" fontId="22" fillId="0" borderId="25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22" xfId="0" applyFont="1" applyBorder="1" applyAlignment="1">
      <alignment vertical="top"/>
    </xf>
    <xf numFmtId="0" fontId="22" fillId="0" borderId="21" xfId="0" applyFont="1" applyBorder="1" applyAlignment="1">
      <alignment vertical="top"/>
    </xf>
    <xf numFmtId="0" fontId="22" fillId="0" borderId="20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4" fillId="0" borderId="32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24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vertical="top" wrapText="1"/>
    </xf>
    <xf numFmtId="0" fontId="21" fillId="0" borderId="25" xfId="0" applyFont="1" applyBorder="1" applyAlignment="1" applyProtection="1">
      <alignment vertical="top" wrapText="1"/>
    </xf>
    <xf numFmtId="0" fontId="21" fillId="0" borderId="19" xfId="0" applyFont="1" applyBorder="1" applyAlignment="1" applyProtection="1">
      <alignment vertical="top" wrapText="1"/>
    </xf>
    <xf numFmtId="0" fontId="21" fillId="0" borderId="20" xfId="0" applyFont="1" applyBorder="1" applyAlignment="1" applyProtection="1">
      <alignment vertical="top" wrapText="1"/>
    </xf>
    <xf numFmtId="0" fontId="21" fillId="0" borderId="21" xfId="0" applyFont="1" applyBorder="1" applyAlignment="1" applyProtection="1">
      <alignment vertical="top" wrapText="1"/>
    </xf>
    <xf numFmtId="0" fontId="21" fillId="0" borderId="26" xfId="0" applyFont="1" applyBorder="1" applyAlignment="1">
      <alignment vertical="top"/>
    </xf>
    <xf numFmtId="0" fontId="21" fillId="0" borderId="27" xfId="0" applyFont="1" applyBorder="1" applyAlignment="1">
      <alignment vertical="top"/>
    </xf>
    <xf numFmtId="0" fontId="21" fillId="0" borderId="28" xfId="0" applyFont="1" applyBorder="1" applyAlignment="1">
      <alignment vertical="top"/>
    </xf>
    <xf numFmtId="3" fontId="18" fillId="0" borderId="26" xfId="1" applyNumberFormat="1" applyFont="1" applyFill="1" applyBorder="1" applyAlignment="1" applyProtection="1">
      <alignment vertical="top"/>
      <protection locked="0"/>
    </xf>
    <xf numFmtId="3" fontId="18" fillId="0" borderId="30" xfId="1" applyNumberFormat="1" applyFont="1" applyFill="1" applyBorder="1" applyAlignment="1" applyProtection="1">
      <alignment vertical="top"/>
      <protection locked="0"/>
    </xf>
    <xf numFmtId="0" fontId="21" fillId="0" borderId="24" xfId="0" applyFont="1" applyBorder="1" applyAlignment="1">
      <alignment vertical="top" wrapText="1"/>
    </xf>
    <xf numFmtId="0" fontId="21" fillId="0" borderId="29" xfId="0" applyFont="1" applyBorder="1" applyAlignment="1">
      <alignment vertical="top"/>
    </xf>
    <xf numFmtId="3" fontId="18" fillId="0" borderId="26" xfId="1" applyNumberFormat="1" applyFont="1" applyFill="1" applyBorder="1" applyAlignment="1">
      <alignment vertical="top"/>
    </xf>
    <xf numFmtId="3" fontId="18" fillId="0" borderId="30" xfId="1" applyNumberFormat="1" applyFont="1" applyFill="1" applyBorder="1" applyAlignment="1">
      <alignment vertical="top"/>
    </xf>
    <xf numFmtId="0" fontId="21" fillId="0" borderId="29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0" fontId="21" fillId="0" borderId="22" xfId="0" applyFont="1" applyBorder="1" applyAlignment="1" applyProtection="1">
      <alignment vertical="top" wrapText="1"/>
      <protection locked="0"/>
    </xf>
    <xf numFmtId="0" fontId="21" fillId="0" borderId="20" xfId="0" applyFont="1" applyBorder="1" applyAlignment="1" applyProtection="1">
      <alignment vertical="top" wrapText="1"/>
      <protection locked="0"/>
    </xf>
    <xf numFmtId="0" fontId="21" fillId="0" borderId="21" xfId="0" applyFont="1" applyBorder="1" applyAlignment="1" applyProtection="1">
      <alignment vertical="top" wrapText="1"/>
      <protection locked="0"/>
    </xf>
    <xf numFmtId="0" fontId="24" fillId="5" borderId="38" xfId="0" applyFont="1" applyFill="1" applyBorder="1" applyAlignment="1">
      <alignment vertical="top"/>
    </xf>
    <xf numFmtId="0" fontId="24" fillId="5" borderId="27" xfId="0" applyFont="1" applyFill="1" applyBorder="1" applyAlignment="1">
      <alignment vertical="top"/>
    </xf>
    <xf numFmtId="0" fontId="24" fillId="5" borderId="28" xfId="0" applyFont="1" applyFill="1" applyBorder="1" applyAlignment="1">
      <alignment vertical="top"/>
    </xf>
    <xf numFmtId="0" fontId="26" fillId="0" borderId="26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29" fillId="5" borderId="26" xfId="0" applyFont="1" applyFill="1" applyBorder="1" applyAlignment="1">
      <alignment horizontal="center" vertical="top"/>
    </xf>
    <xf numFmtId="0" fontId="29" fillId="5" borderId="27" xfId="0" applyFont="1" applyFill="1" applyBorder="1" applyAlignment="1">
      <alignment horizontal="center" vertical="top"/>
    </xf>
    <xf numFmtId="0" fontId="29" fillId="5" borderId="30" xfId="0" applyFont="1" applyFill="1" applyBorder="1" applyAlignment="1">
      <alignment horizontal="center" vertical="top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9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top"/>
    </xf>
    <xf numFmtId="0" fontId="21" fillId="0" borderId="22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165" fontId="18" fillId="3" borderId="26" xfId="0" applyNumberFormat="1" applyFont="1" applyFill="1" applyBorder="1" applyAlignment="1">
      <alignment vertical="center"/>
    </xf>
    <xf numFmtId="165" fontId="18" fillId="3" borderId="28" xfId="0" applyNumberFormat="1" applyFont="1" applyFill="1" applyBorder="1" applyAlignment="1">
      <alignment vertical="center"/>
    </xf>
    <xf numFmtId="165" fontId="18" fillId="3" borderId="26" xfId="1" applyNumberFormat="1" applyFont="1" applyFill="1" applyBorder="1" applyAlignment="1">
      <alignment vertical="center"/>
    </xf>
    <xf numFmtId="165" fontId="18" fillId="3" borderId="30" xfId="1" applyNumberFormat="1" applyFont="1" applyFill="1" applyBorder="1" applyAlignment="1">
      <alignment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0" fontId="21" fillId="5" borderId="33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1" fillId="5" borderId="40" xfId="0" applyFont="1" applyFill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165" fontId="18" fillId="3" borderId="26" xfId="1" applyNumberFormat="1" applyFont="1" applyFill="1" applyBorder="1" applyAlignment="1">
      <alignment horizontal="right" vertical="center"/>
    </xf>
    <xf numFmtId="165" fontId="18" fillId="3" borderId="28" xfId="1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18" fillId="4" borderId="26" xfId="1" applyNumberFormat="1" applyFont="1" applyFill="1" applyBorder="1" applyAlignment="1" applyProtection="1">
      <alignment vertical="center"/>
      <protection locked="0"/>
    </xf>
    <xf numFmtId="165" fontId="18" fillId="4" borderId="28" xfId="1" applyNumberFormat="1" applyFont="1" applyFill="1" applyBorder="1" applyAlignment="1" applyProtection="1">
      <alignment vertical="center"/>
      <protection locked="0"/>
    </xf>
    <xf numFmtId="0" fontId="21" fillId="0" borderId="29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165" fontId="20" fillId="5" borderId="26" xfId="1" applyNumberFormat="1" applyFont="1" applyFill="1" applyBorder="1" applyAlignment="1">
      <alignment vertical="center"/>
    </xf>
    <xf numFmtId="165" fontId="20" fillId="5" borderId="30" xfId="1" applyNumberFormat="1" applyFont="1" applyFill="1" applyBorder="1" applyAlignment="1">
      <alignment vertical="center"/>
    </xf>
    <xf numFmtId="165" fontId="18" fillId="0" borderId="26" xfId="0" applyNumberFormat="1" applyFont="1" applyBorder="1" applyAlignment="1">
      <alignment vertical="center"/>
    </xf>
    <xf numFmtId="165" fontId="18" fillId="0" borderId="30" xfId="0" applyNumberFormat="1" applyFont="1" applyBorder="1" applyAlignment="1">
      <alignment vertical="center"/>
    </xf>
    <xf numFmtId="165" fontId="18" fillId="4" borderId="26" xfId="0" applyNumberFormat="1" applyFont="1" applyFill="1" applyBorder="1" applyAlignment="1" applyProtection="1">
      <alignment vertical="center"/>
      <protection locked="0"/>
    </xf>
    <xf numFmtId="165" fontId="18" fillId="4" borderId="28" xfId="0" applyNumberFormat="1" applyFont="1" applyFill="1" applyBorder="1" applyAlignment="1" applyProtection="1">
      <alignment vertical="center"/>
      <protection locked="0"/>
    </xf>
    <xf numFmtId="0" fontId="26" fillId="0" borderId="26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26" fillId="0" borderId="28" xfId="0" applyFont="1" applyBorder="1" applyAlignment="1">
      <alignment horizontal="right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166" fontId="18" fillId="3" borderId="26" xfId="2" applyNumberFormat="1" applyFont="1" applyFill="1" applyBorder="1" applyAlignment="1">
      <alignment horizontal="right" vertical="center"/>
    </xf>
    <xf numFmtId="166" fontId="18" fillId="3" borderId="28" xfId="2" applyNumberFormat="1" applyFont="1" applyFill="1" applyBorder="1" applyAlignment="1">
      <alignment horizontal="right" vertical="center"/>
    </xf>
    <xf numFmtId="166" fontId="18" fillId="3" borderId="30" xfId="2" applyNumberFormat="1" applyFont="1" applyFill="1" applyBorder="1" applyAlignment="1">
      <alignment horizontal="right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165" fontId="18" fillId="3" borderId="28" xfId="1" applyNumberFormat="1" applyFont="1" applyFill="1" applyBorder="1" applyAlignment="1">
      <alignment vertical="center"/>
    </xf>
    <xf numFmtId="165" fontId="18" fillId="3" borderId="30" xfId="0" applyNumberFormat="1" applyFont="1" applyFill="1" applyBorder="1" applyAlignment="1">
      <alignment vertical="center"/>
    </xf>
    <xf numFmtId="49" fontId="20" fillId="0" borderId="43" xfId="0" applyNumberFormat="1" applyFont="1" applyBorder="1" applyAlignment="1">
      <alignment horizontal="left" vertical="top"/>
    </xf>
    <xf numFmtId="49" fontId="20" fillId="0" borderId="44" xfId="0" applyNumberFormat="1" applyFont="1" applyBorder="1" applyAlignment="1">
      <alignment horizontal="left" vertical="top"/>
    </xf>
    <xf numFmtId="49" fontId="20" fillId="0" borderId="45" xfId="0" applyNumberFormat="1" applyFont="1" applyBorder="1" applyAlignment="1">
      <alignment horizontal="left" vertical="top"/>
    </xf>
    <xf numFmtId="49" fontId="20" fillId="0" borderId="46" xfId="0" applyNumberFormat="1" applyFont="1" applyBorder="1" applyAlignment="1">
      <alignment horizontal="left" vertical="top"/>
    </xf>
    <xf numFmtId="49" fontId="20" fillId="0" borderId="47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169" fontId="21" fillId="0" borderId="22" xfId="0" applyNumberFormat="1" applyFont="1" applyBorder="1" applyAlignment="1">
      <alignment horizontal="center" vertical="center" wrapText="1"/>
    </xf>
    <xf numFmtId="169" fontId="21" fillId="0" borderId="23" xfId="0" applyNumberFormat="1" applyFont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wrapText="1"/>
    </xf>
    <xf numFmtId="0" fontId="18" fillId="7" borderId="56" xfId="0" applyFont="1" applyFill="1" applyBorder="1" applyAlignment="1">
      <alignment horizontal="center" wrapText="1"/>
    </xf>
  </cellXfs>
  <cellStyles count="6">
    <cellStyle name="Comma" xfId="3" builtinId="3"/>
    <cellStyle name="Currency" xfId="1" builtinId="4"/>
    <cellStyle name="Hyperlink" xfId="4" builtinId="8"/>
    <cellStyle name="Normal" xfId="0" builtinId="0"/>
    <cellStyle name="Normal_1547Wesley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arsite.hill.af.mil/reghtml/regs/far2afmcfars/fardfars/dfars/dfars215.htm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20" workbookViewId="0">
      <selection activeCell="C25" sqref="C25"/>
    </sheetView>
  </sheetViews>
  <sheetFormatPr defaultRowHeight="15"/>
  <cols>
    <col min="1" max="1" width="81.5703125" bestFit="1" customWidth="1"/>
    <col min="2" max="2" width="4.140625" customWidth="1"/>
    <col min="3" max="3" width="81.5703125" bestFit="1" customWidth="1"/>
  </cols>
  <sheetData>
    <row r="1" spans="1:11">
      <c r="A1" s="127" t="s">
        <v>272</v>
      </c>
      <c r="C1" s="127" t="s">
        <v>274</v>
      </c>
    </row>
    <row r="2" spans="1:11">
      <c r="A2" s="126" t="s">
        <v>261</v>
      </c>
      <c r="C2" t="s">
        <v>258</v>
      </c>
    </row>
    <row r="3" spans="1:11">
      <c r="A3" s="126" t="s">
        <v>289</v>
      </c>
      <c r="C3" t="s">
        <v>259</v>
      </c>
    </row>
    <row r="4" spans="1:11">
      <c r="A4" s="126" t="s">
        <v>262</v>
      </c>
      <c r="C4" t="s">
        <v>271</v>
      </c>
    </row>
    <row r="5" spans="1:11">
      <c r="A5" s="126" t="s">
        <v>263</v>
      </c>
      <c r="C5" s="125" t="s">
        <v>260</v>
      </c>
    </row>
    <row r="6" spans="1:11" ht="30">
      <c r="A6" s="126" t="s">
        <v>264</v>
      </c>
      <c r="C6" s="125"/>
    </row>
    <row r="7" spans="1:11">
      <c r="A7" s="126" t="s">
        <v>265</v>
      </c>
    </row>
    <row r="8" spans="1:11">
      <c r="A8" s="126" t="s">
        <v>266</v>
      </c>
    </row>
    <row r="9" spans="1:11">
      <c r="A9" s="126" t="s">
        <v>310</v>
      </c>
      <c r="K9" s="123"/>
    </row>
    <row r="10" spans="1:11">
      <c r="A10" s="126" t="s">
        <v>267</v>
      </c>
      <c r="K10" s="123"/>
    </row>
    <row r="11" spans="1:11" ht="45">
      <c r="A11" s="126" t="s">
        <v>311</v>
      </c>
      <c r="K11" s="124"/>
    </row>
    <row r="12" spans="1:11">
      <c r="A12" s="126" t="s">
        <v>268</v>
      </c>
      <c r="K12" s="123"/>
    </row>
    <row r="13" spans="1:11">
      <c r="A13" s="126" t="s">
        <v>312</v>
      </c>
      <c r="K13" s="123"/>
    </row>
    <row r="14" spans="1:11">
      <c r="A14" s="126" t="s">
        <v>290</v>
      </c>
    </row>
    <row r="15" spans="1:11" ht="45">
      <c r="A15" s="126" t="s">
        <v>313</v>
      </c>
    </row>
    <row r="16" spans="1:11">
      <c r="A16" s="126" t="s">
        <v>291</v>
      </c>
    </row>
    <row r="17" spans="1:1">
      <c r="A17" s="126" t="s">
        <v>292</v>
      </c>
    </row>
    <row r="18" spans="1:1">
      <c r="A18" s="126" t="s">
        <v>293</v>
      </c>
    </row>
    <row r="19" spans="1:1" ht="45">
      <c r="A19" s="126" t="s">
        <v>314</v>
      </c>
    </row>
    <row r="20" spans="1:1">
      <c r="A20" s="126" t="s">
        <v>294</v>
      </c>
    </row>
    <row r="21" spans="1:1">
      <c r="A21" s="126" t="s">
        <v>295</v>
      </c>
    </row>
    <row r="22" spans="1:1">
      <c r="A22" s="126" t="s">
        <v>296</v>
      </c>
    </row>
    <row r="23" spans="1:1" ht="45">
      <c r="A23" s="126" t="s">
        <v>315</v>
      </c>
    </row>
    <row r="24" spans="1:1">
      <c r="A24" s="126" t="s">
        <v>297</v>
      </c>
    </row>
    <row r="25" spans="1:1" ht="45">
      <c r="A25" s="126" t="s">
        <v>316</v>
      </c>
    </row>
    <row r="26" spans="1:1">
      <c r="A26" s="126" t="s">
        <v>298</v>
      </c>
    </row>
    <row r="27" spans="1:1">
      <c r="A27" s="126" t="s">
        <v>317</v>
      </c>
    </row>
    <row r="28" spans="1:1">
      <c r="A28" s="126" t="s">
        <v>299</v>
      </c>
    </row>
    <row r="29" spans="1:1" ht="45">
      <c r="A29" s="126" t="s">
        <v>318</v>
      </c>
    </row>
    <row r="30" spans="1:1">
      <c r="A30" s="126" t="s">
        <v>300</v>
      </c>
    </row>
    <row r="31" spans="1:1" ht="45">
      <c r="A31" s="126" t="s">
        <v>319</v>
      </c>
    </row>
    <row r="32" spans="1:1">
      <c r="A32" s="126" t="s">
        <v>301</v>
      </c>
    </row>
    <row r="33" spans="1:1" ht="45">
      <c r="A33" s="126" t="s">
        <v>320</v>
      </c>
    </row>
    <row r="34" spans="1:1">
      <c r="A34" s="126" t="s">
        <v>302</v>
      </c>
    </row>
    <row r="35" spans="1:1" ht="45">
      <c r="A35" s="126" t="s">
        <v>321</v>
      </c>
    </row>
    <row r="36" spans="1:1" ht="60">
      <c r="A36" s="126" t="s">
        <v>269</v>
      </c>
    </row>
    <row r="37" spans="1:1" ht="30">
      <c r="A37" s="37" t="s">
        <v>270</v>
      </c>
    </row>
  </sheetData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I128" sqref="I128"/>
    </sheetView>
  </sheetViews>
  <sheetFormatPr defaultColWidth="8.85546875" defaultRowHeight="15"/>
  <cols>
    <col min="1" max="1" width="13.140625" customWidth="1"/>
    <col min="2" max="2" width="5.7109375" customWidth="1"/>
    <col min="3" max="3" width="10.140625" customWidth="1"/>
    <col min="4" max="4" width="12.42578125" customWidth="1"/>
    <col min="5" max="5" width="5.7109375" customWidth="1"/>
    <col min="6" max="6" width="10.140625" customWidth="1"/>
    <col min="7" max="7" width="13.140625" customWidth="1"/>
    <col min="8" max="9" width="10.140625" customWidth="1"/>
    <col min="10" max="10" width="8.85546875" customWidth="1"/>
    <col min="11" max="11" width="9.85546875" customWidth="1"/>
    <col min="12" max="12" width="18.85546875" customWidth="1"/>
    <col min="257" max="257" width="13.140625" customWidth="1"/>
    <col min="258" max="258" width="5.7109375" customWidth="1"/>
    <col min="259" max="259" width="10.140625" customWidth="1"/>
    <col min="260" max="260" width="12.42578125" customWidth="1"/>
    <col min="261" max="261" width="5.7109375" customWidth="1"/>
    <col min="262" max="262" width="10.140625" customWidth="1"/>
    <col min="263" max="263" width="13.140625" customWidth="1"/>
    <col min="264" max="265" width="10.140625" customWidth="1"/>
    <col min="266" max="266" width="8.85546875" customWidth="1"/>
    <col min="267" max="267" width="9.85546875" customWidth="1"/>
    <col min="268" max="268" width="18.85546875" customWidth="1"/>
    <col min="513" max="513" width="13.140625" customWidth="1"/>
    <col min="514" max="514" width="5.7109375" customWidth="1"/>
    <col min="515" max="515" width="10.140625" customWidth="1"/>
    <col min="516" max="516" width="12.42578125" customWidth="1"/>
    <col min="517" max="517" width="5.7109375" customWidth="1"/>
    <col min="518" max="518" width="10.140625" customWidth="1"/>
    <col min="519" max="519" width="13.140625" customWidth="1"/>
    <col min="520" max="521" width="10.140625" customWidth="1"/>
    <col min="522" max="522" width="8.85546875" customWidth="1"/>
    <col min="523" max="523" width="9.85546875" customWidth="1"/>
    <col min="524" max="524" width="18.85546875" customWidth="1"/>
    <col min="769" max="769" width="13.140625" customWidth="1"/>
    <col min="770" max="770" width="5.7109375" customWidth="1"/>
    <col min="771" max="771" width="10.140625" customWidth="1"/>
    <col min="772" max="772" width="12.42578125" customWidth="1"/>
    <col min="773" max="773" width="5.7109375" customWidth="1"/>
    <col min="774" max="774" width="10.140625" customWidth="1"/>
    <col min="775" max="775" width="13.140625" customWidth="1"/>
    <col min="776" max="777" width="10.140625" customWidth="1"/>
    <col min="778" max="778" width="8.85546875" customWidth="1"/>
    <col min="779" max="779" width="9.85546875" customWidth="1"/>
    <col min="780" max="780" width="18.85546875" customWidth="1"/>
    <col min="1025" max="1025" width="13.140625" customWidth="1"/>
    <col min="1026" max="1026" width="5.7109375" customWidth="1"/>
    <col min="1027" max="1027" width="10.140625" customWidth="1"/>
    <col min="1028" max="1028" width="12.42578125" customWidth="1"/>
    <col min="1029" max="1029" width="5.7109375" customWidth="1"/>
    <col min="1030" max="1030" width="10.140625" customWidth="1"/>
    <col min="1031" max="1031" width="13.140625" customWidth="1"/>
    <col min="1032" max="1033" width="10.140625" customWidth="1"/>
    <col min="1034" max="1034" width="8.85546875" customWidth="1"/>
    <col min="1035" max="1035" width="9.85546875" customWidth="1"/>
    <col min="1036" max="1036" width="18.85546875" customWidth="1"/>
    <col min="1281" max="1281" width="13.140625" customWidth="1"/>
    <col min="1282" max="1282" width="5.7109375" customWidth="1"/>
    <col min="1283" max="1283" width="10.140625" customWidth="1"/>
    <col min="1284" max="1284" width="12.42578125" customWidth="1"/>
    <col min="1285" max="1285" width="5.7109375" customWidth="1"/>
    <col min="1286" max="1286" width="10.140625" customWidth="1"/>
    <col min="1287" max="1287" width="13.140625" customWidth="1"/>
    <col min="1288" max="1289" width="10.140625" customWidth="1"/>
    <col min="1290" max="1290" width="8.85546875" customWidth="1"/>
    <col min="1291" max="1291" width="9.85546875" customWidth="1"/>
    <col min="1292" max="1292" width="18.85546875" customWidth="1"/>
    <col min="1537" max="1537" width="13.140625" customWidth="1"/>
    <col min="1538" max="1538" width="5.7109375" customWidth="1"/>
    <col min="1539" max="1539" width="10.140625" customWidth="1"/>
    <col min="1540" max="1540" width="12.42578125" customWidth="1"/>
    <col min="1541" max="1541" width="5.7109375" customWidth="1"/>
    <col min="1542" max="1542" width="10.140625" customWidth="1"/>
    <col min="1543" max="1543" width="13.140625" customWidth="1"/>
    <col min="1544" max="1545" width="10.140625" customWidth="1"/>
    <col min="1546" max="1546" width="8.85546875" customWidth="1"/>
    <col min="1547" max="1547" width="9.85546875" customWidth="1"/>
    <col min="1548" max="1548" width="18.85546875" customWidth="1"/>
    <col min="1793" max="1793" width="13.140625" customWidth="1"/>
    <col min="1794" max="1794" width="5.7109375" customWidth="1"/>
    <col min="1795" max="1795" width="10.140625" customWidth="1"/>
    <col min="1796" max="1796" width="12.42578125" customWidth="1"/>
    <col min="1797" max="1797" width="5.7109375" customWidth="1"/>
    <col min="1798" max="1798" width="10.140625" customWidth="1"/>
    <col min="1799" max="1799" width="13.140625" customWidth="1"/>
    <col min="1800" max="1801" width="10.140625" customWidth="1"/>
    <col min="1802" max="1802" width="8.85546875" customWidth="1"/>
    <col min="1803" max="1803" width="9.85546875" customWidth="1"/>
    <col min="1804" max="1804" width="18.85546875" customWidth="1"/>
    <col min="2049" max="2049" width="13.140625" customWidth="1"/>
    <col min="2050" max="2050" width="5.7109375" customWidth="1"/>
    <col min="2051" max="2051" width="10.140625" customWidth="1"/>
    <col min="2052" max="2052" width="12.42578125" customWidth="1"/>
    <col min="2053" max="2053" width="5.7109375" customWidth="1"/>
    <col min="2054" max="2054" width="10.140625" customWidth="1"/>
    <col min="2055" max="2055" width="13.140625" customWidth="1"/>
    <col min="2056" max="2057" width="10.140625" customWidth="1"/>
    <col min="2058" max="2058" width="8.85546875" customWidth="1"/>
    <col min="2059" max="2059" width="9.85546875" customWidth="1"/>
    <col min="2060" max="2060" width="18.85546875" customWidth="1"/>
    <col min="2305" max="2305" width="13.140625" customWidth="1"/>
    <col min="2306" max="2306" width="5.7109375" customWidth="1"/>
    <col min="2307" max="2307" width="10.140625" customWidth="1"/>
    <col min="2308" max="2308" width="12.42578125" customWidth="1"/>
    <col min="2309" max="2309" width="5.7109375" customWidth="1"/>
    <col min="2310" max="2310" width="10.140625" customWidth="1"/>
    <col min="2311" max="2311" width="13.140625" customWidth="1"/>
    <col min="2312" max="2313" width="10.140625" customWidth="1"/>
    <col min="2314" max="2314" width="8.85546875" customWidth="1"/>
    <col min="2315" max="2315" width="9.85546875" customWidth="1"/>
    <col min="2316" max="2316" width="18.85546875" customWidth="1"/>
    <col min="2561" max="2561" width="13.140625" customWidth="1"/>
    <col min="2562" max="2562" width="5.7109375" customWidth="1"/>
    <col min="2563" max="2563" width="10.140625" customWidth="1"/>
    <col min="2564" max="2564" width="12.42578125" customWidth="1"/>
    <col min="2565" max="2565" width="5.7109375" customWidth="1"/>
    <col min="2566" max="2566" width="10.140625" customWidth="1"/>
    <col min="2567" max="2567" width="13.140625" customWidth="1"/>
    <col min="2568" max="2569" width="10.140625" customWidth="1"/>
    <col min="2570" max="2570" width="8.85546875" customWidth="1"/>
    <col min="2571" max="2571" width="9.85546875" customWidth="1"/>
    <col min="2572" max="2572" width="18.85546875" customWidth="1"/>
    <col min="2817" max="2817" width="13.140625" customWidth="1"/>
    <col min="2818" max="2818" width="5.7109375" customWidth="1"/>
    <col min="2819" max="2819" width="10.140625" customWidth="1"/>
    <col min="2820" max="2820" width="12.42578125" customWidth="1"/>
    <col min="2821" max="2821" width="5.7109375" customWidth="1"/>
    <col min="2822" max="2822" width="10.140625" customWidth="1"/>
    <col min="2823" max="2823" width="13.140625" customWidth="1"/>
    <col min="2824" max="2825" width="10.140625" customWidth="1"/>
    <col min="2826" max="2826" width="8.85546875" customWidth="1"/>
    <col min="2827" max="2827" width="9.85546875" customWidth="1"/>
    <col min="2828" max="2828" width="18.85546875" customWidth="1"/>
    <col min="3073" max="3073" width="13.140625" customWidth="1"/>
    <col min="3074" max="3074" width="5.7109375" customWidth="1"/>
    <col min="3075" max="3075" width="10.140625" customWidth="1"/>
    <col min="3076" max="3076" width="12.42578125" customWidth="1"/>
    <col min="3077" max="3077" width="5.7109375" customWidth="1"/>
    <col min="3078" max="3078" width="10.140625" customWidth="1"/>
    <col min="3079" max="3079" width="13.140625" customWidth="1"/>
    <col min="3080" max="3081" width="10.140625" customWidth="1"/>
    <col min="3082" max="3082" width="8.85546875" customWidth="1"/>
    <col min="3083" max="3083" width="9.85546875" customWidth="1"/>
    <col min="3084" max="3084" width="18.85546875" customWidth="1"/>
    <col min="3329" max="3329" width="13.140625" customWidth="1"/>
    <col min="3330" max="3330" width="5.7109375" customWidth="1"/>
    <col min="3331" max="3331" width="10.140625" customWidth="1"/>
    <col min="3332" max="3332" width="12.42578125" customWidth="1"/>
    <col min="3333" max="3333" width="5.7109375" customWidth="1"/>
    <col min="3334" max="3334" width="10.140625" customWidth="1"/>
    <col min="3335" max="3335" width="13.140625" customWidth="1"/>
    <col min="3336" max="3337" width="10.140625" customWidth="1"/>
    <col min="3338" max="3338" width="8.85546875" customWidth="1"/>
    <col min="3339" max="3339" width="9.85546875" customWidth="1"/>
    <col min="3340" max="3340" width="18.85546875" customWidth="1"/>
    <col min="3585" max="3585" width="13.140625" customWidth="1"/>
    <col min="3586" max="3586" width="5.7109375" customWidth="1"/>
    <col min="3587" max="3587" width="10.140625" customWidth="1"/>
    <col min="3588" max="3588" width="12.42578125" customWidth="1"/>
    <col min="3589" max="3589" width="5.7109375" customWidth="1"/>
    <col min="3590" max="3590" width="10.140625" customWidth="1"/>
    <col min="3591" max="3591" width="13.140625" customWidth="1"/>
    <col min="3592" max="3593" width="10.140625" customWidth="1"/>
    <col min="3594" max="3594" width="8.85546875" customWidth="1"/>
    <col min="3595" max="3595" width="9.85546875" customWidth="1"/>
    <col min="3596" max="3596" width="18.85546875" customWidth="1"/>
    <col min="3841" max="3841" width="13.140625" customWidth="1"/>
    <col min="3842" max="3842" width="5.7109375" customWidth="1"/>
    <col min="3843" max="3843" width="10.140625" customWidth="1"/>
    <col min="3844" max="3844" width="12.42578125" customWidth="1"/>
    <col min="3845" max="3845" width="5.7109375" customWidth="1"/>
    <col min="3846" max="3846" width="10.140625" customWidth="1"/>
    <col min="3847" max="3847" width="13.140625" customWidth="1"/>
    <col min="3848" max="3849" width="10.140625" customWidth="1"/>
    <col min="3850" max="3850" width="8.85546875" customWidth="1"/>
    <col min="3851" max="3851" width="9.85546875" customWidth="1"/>
    <col min="3852" max="3852" width="18.85546875" customWidth="1"/>
    <col min="4097" max="4097" width="13.140625" customWidth="1"/>
    <col min="4098" max="4098" width="5.7109375" customWidth="1"/>
    <col min="4099" max="4099" width="10.140625" customWidth="1"/>
    <col min="4100" max="4100" width="12.42578125" customWidth="1"/>
    <col min="4101" max="4101" width="5.7109375" customWidth="1"/>
    <col min="4102" max="4102" width="10.140625" customWidth="1"/>
    <col min="4103" max="4103" width="13.140625" customWidth="1"/>
    <col min="4104" max="4105" width="10.140625" customWidth="1"/>
    <col min="4106" max="4106" width="8.85546875" customWidth="1"/>
    <col min="4107" max="4107" width="9.85546875" customWidth="1"/>
    <col min="4108" max="4108" width="18.85546875" customWidth="1"/>
    <col min="4353" max="4353" width="13.140625" customWidth="1"/>
    <col min="4354" max="4354" width="5.7109375" customWidth="1"/>
    <col min="4355" max="4355" width="10.140625" customWidth="1"/>
    <col min="4356" max="4356" width="12.42578125" customWidth="1"/>
    <col min="4357" max="4357" width="5.7109375" customWidth="1"/>
    <col min="4358" max="4358" width="10.140625" customWidth="1"/>
    <col min="4359" max="4359" width="13.140625" customWidth="1"/>
    <col min="4360" max="4361" width="10.140625" customWidth="1"/>
    <col min="4362" max="4362" width="8.85546875" customWidth="1"/>
    <col min="4363" max="4363" width="9.85546875" customWidth="1"/>
    <col min="4364" max="4364" width="18.85546875" customWidth="1"/>
    <col min="4609" max="4609" width="13.140625" customWidth="1"/>
    <col min="4610" max="4610" width="5.7109375" customWidth="1"/>
    <col min="4611" max="4611" width="10.140625" customWidth="1"/>
    <col min="4612" max="4612" width="12.42578125" customWidth="1"/>
    <col min="4613" max="4613" width="5.7109375" customWidth="1"/>
    <col min="4614" max="4614" width="10.140625" customWidth="1"/>
    <col min="4615" max="4615" width="13.140625" customWidth="1"/>
    <col min="4616" max="4617" width="10.140625" customWidth="1"/>
    <col min="4618" max="4618" width="8.85546875" customWidth="1"/>
    <col min="4619" max="4619" width="9.85546875" customWidth="1"/>
    <col min="4620" max="4620" width="18.85546875" customWidth="1"/>
    <col min="4865" max="4865" width="13.140625" customWidth="1"/>
    <col min="4866" max="4866" width="5.7109375" customWidth="1"/>
    <col min="4867" max="4867" width="10.140625" customWidth="1"/>
    <col min="4868" max="4868" width="12.42578125" customWidth="1"/>
    <col min="4869" max="4869" width="5.7109375" customWidth="1"/>
    <col min="4870" max="4870" width="10.140625" customWidth="1"/>
    <col min="4871" max="4871" width="13.140625" customWidth="1"/>
    <col min="4872" max="4873" width="10.140625" customWidth="1"/>
    <col min="4874" max="4874" width="8.85546875" customWidth="1"/>
    <col min="4875" max="4875" width="9.85546875" customWidth="1"/>
    <col min="4876" max="4876" width="18.85546875" customWidth="1"/>
    <col min="5121" max="5121" width="13.140625" customWidth="1"/>
    <col min="5122" max="5122" width="5.7109375" customWidth="1"/>
    <col min="5123" max="5123" width="10.140625" customWidth="1"/>
    <col min="5124" max="5124" width="12.42578125" customWidth="1"/>
    <col min="5125" max="5125" width="5.7109375" customWidth="1"/>
    <col min="5126" max="5126" width="10.140625" customWidth="1"/>
    <col min="5127" max="5127" width="13.140625" customWidth="1"/>
    <col min="5128" max="5129" width="10.140625" customWidth="1"/>
    <col min="5130" max="5130" width="8.85546875" customWidth="1"/>
    <col min="5131" max="5131" width="9.85546875" customWidth="1"/>
    <col min="5132" max="5132" width="18.85546875" customWidth="1"/>
    <col min="5377" max="5377" width="13.140625" customWidth="1"/>
    <col min="5378" max="5378" width="5.7109375" customWidth="1"/>
    <col min="5379" max="5379" width="10.140625" customWidth="1"/>
    <col min="5380" max="5380" width="12.42578125" customWidth="1"/>
    <col min="5381" max="5381" width="5.7109375" customWidth="1"/>
    <col min="5382" max="5382" width="10.140625" customWidth="1"/>
    <col min="5383" max="5383" width="13.140625" customWidth="1"/>
    <col min="5384" max="5385" width="10.140625" customWidth="1"/>
    <col min="5386" max="5386" width="8.85546875" customWidth="1"/>
    <col min="5387" max="5387" width="9.85546875" customWidth="1"/>
    <col min="5388" max="5388" width="18.85546875" customWidth="1"/>
    <col min="5633" max="5633" width="13.140625" customWidth="1"/>
    <col min="5634" max="5634" width="5.7109375" customWidth="1"/>
    <col min="5635" max="5635" width="10.140625" customWidth="1"/>
    <col min="5636" max="5636" width="12.42578125" customWidth="1"/>
    <col min="5637" max="5637" width="5.7109375" customWidth="1"/>
    <col min="5638" max="5638" width="10.140625" customWidth="1"/>
    <col min="5639" max="5639" width="13.140625" customWidth="1"/>
    <col min="5640" max="5641" width="10.140625" customWidth="1"/>
    <col min="5642" max="5642" width="8.85546875" customWidth="1"/>
    <col min="5643" max="5643" width="9.85546875" customWidth="1"/>
    <col min="5644" max="5644" width="18.85546875" customWidth="1"/>
    <col min="5889" max="5889" width="13.140625" customWidth="1"/>
    <col min="5890" max="5890" width="5.7109375" customWidth="1"/>
    <col min="5891" max="5891" width="10.140625" customWidth="1"/>
    <col min="5892" max="5892" width="12.42578125" customWidth="1"/>
    <col min="5893" max="5893" width="5.7109375" customWidth="1"/>
    <col min="5894" max="5894" width="10.140625" customWidth="1"/>
    <col min="5895" max="5895" width="13.140625" customWidth="1"/>
    <col min="5896" max="5897" width="10.140625" customWidth="1"/>
    <col min="5898" max="5898" width="8.85546875" customWidth="1"/>
    <col min="5899" max="5899" width="9.85546875" customWidth="1"/>
    <col min="5900" max="5900" width="18.85546875" customWidth="1"/>
    <col min="6145" max="6145" width="13.140625" customWidth="1"/>
    <col min="6146" max="6146" width="5.7109375" customWidth="1"/>
    <col min="6147" max="6147" width="10.140625" customWidth="1"/>
    <col min="6148" max="6148" width="12.42578125" customWidth="1"/>
    <col min="6149" max="6149" width="5.7109375" customWidth="1"/>
    <col min="6150" max="6150" width="10.140625" customWidth="1"/>
    <col min="6151" max="6151" width="13.140625" customWidth="1"/>
    <col min="6152" max="6153" width="10.140625" customWidth="1"/>
    <col min="6154" max="6154" width="8.85546875" customWidth="1"/>
    <col min="6155" max="6155" width="9.85546875" customWidth="1"/>
    <col min="6156" max="6156" width="18.85546875" customWidth="1"/>
    <col min="6401" max="6401" width="13.140625" customWidth="1"/>
    <col min="6402" max="6402" width="5.7109375" customWidth="1"/>
    <col min="6403" max="6403" width="10.140625" customWidth="1"/>
    <col min="6404" max="6404" width="12.42578125" customWidth="1"/>
    <col min="6405" max="6405" width="5.7109375" customWidth="1"/>
    <col min="6406" max="6406" width="10.140625" customWidth="1"/>
    <col min="6407" max="6407" width="13.140625" customWidth="1"/>
    <col min="6408" max="6409" width="10.140625" customWidth="1"/>
    <col min="6410" max="6410" width="8.85546875" customWidth="1"/>
    <col min="6411" max="6411" width="9.85546875" customWidth="1"/>
    <col min="6412" max="6412" width="18.85546875" customWidth="1"/>
    <col min="6657" max="6657" width="13.140625" customWidth="1"/>
    <col min="6658" max="6658" width="5.7109375" customWidth="1"/>
    <col min="6659" max="6659" width="10.140625" customWidth="1"/>
    <col min="6660" max="6660" width="12.42578125" customWidth="1"/>
    <col min="6661" max="6661" width="5.7109375" customWidth="1"/>
    <col min="6662" max="6662" width="10.140625" customWidth="1"/>
    <col min="6663" max="6663" width="13.140625" customWidth="1"/>
    <col min="6664" max="6665" width="10.140625" customWidth="1"/>
    <col min="6666" max="6666" width="8.85546875" customWidth="1"/>
    <col min="6667" max="6667" width="9.85546875" customWidth="1"/>
    <col min="6668" max="6668" width="18.85546875" customWidth="1"/>
    <col min="6913" max="6913" width="13.140625" customWidth="1"/>
    <col min="6914" max="6914" width="5.7109375" customWidth="1"/>
    <col min="6915" max="6915" width="10.140625" customWidth="1"/>
    <col min="6916" max="6916" width="12.42578125" customWidth="1"/>
    <col min="6917" max="6917" width="5.7109375" customWidth="1"/>
    <col min="6918" max="6918" width="10.140625" customWidth="1"/>
    <col min="6919" max="6919" width="13.140625" customWidth="1"/>
    <col min="6920" max="6921" width="10.140625" customWidth="1"/>
    <col min="6922" max="6922" width="8.85546875" customWidth="1"/>
    <col min="6923" max="6923" width="9.85546875" customWidth="1"/>
    <col min="6924" max="6924" width="18.85546875" customWidth="1"/>
    <col min="7169" max="7169" width="13.140625" customWidth="1"/>
    <col min="7170" max="7170" width="5.7109375" customWidth="1"/>
    <col min="7171" max="7171" width="10.140625" customWidth="1"/>
    <col min="7172" max="7172" width="12.42578125" customWidth="1"/>
    <col min="7173" max="7173" width="5.7109375" customWidth="1"/>
    <col min="7174" max="7174" width="10.140625" customWidth="1"/>
    <col min="7175" max="7175" width="13.140625" customWidth="1"/>
    <col min="7176" max="7177" width="10.140625" customWidth="1"/>
    <col min="7178" max="7178" width="8.85546875" customWidth="1"/>
    <col min="7179" max="7179" width="9.85546875" customWidth="1"/>
    <col min="7180" max="7180" width="18.85546875" customWidth="1"/>
    <col min="7425" max="7425" width="13.140625" customWidth="1"/>
    <col min="7426" max="7426" width="5.7109375" customWidth="1"/>
    <col min="7427" max="7427" width="10.140625" customWidth="1"/>
    <col min="7428" max="7428" width="12.42578125" customWidth="1"/>
    <col min="7429" max="7429" width="5.7109375" customWidth="1"/>
    <col min="7430" max="7430" width="10.140625" customWidth="1"/>
    <col min="7431" max="7431" width="13.140625" customWidth="1"/>
    <col min="7432" max="7433" width="10.140625" customWidth="1"/>
    <col min="7434" max="7434" width="8.85546875" customWidth="1"/>
    <col min="7435" max="7435" width="9.85546875" customWidth="1"/>
    <col min="7436" max="7436" width="18.85546875" customWidth="1"/>
    <col min="7681" max="7681" width="13.140625" customWidth="1"/>
    <col min="7682" max="7682" width="5.7109375" customWidth="1"/>
    <col min="7683" max="7683" width="10.140625" customWidth="1"/>
    <col min="7684" max="7684" width="12.42578125" customWidth="1"/>
    <col min="7685" max="7685" width="5.7109375" customWidth="1"/>
    <col min="7686" max="7686" width="10.140625" customWidth="1"/>
    <col min="7687" max="7687" width="13.140625" customWidth="1"/>
    <col min="7688" max="7689" width="10.140625" customWidth="1"/>
    <col min="7690" max="7690" width="8.85546875" customWidth="1"/>
    <col min="7691" max="7691" width="9.85546875" customWidth="1"/>
    <col min="7692" max="7692" width="18.85546875" customWidth="1"/>
    <col min="7937" max="7937" width="13.140625" customWidth="1"/>
    <col min="7938" max="7938" width="5.7109375" customWidth="1"/>
    <col min="7939" max="7939" width="10.140625" customWidth="1"/>
    <col min="7940" max="7940" width="12.42578125" customWidth="1"/>
    <col min="7941" max="7941" width="5.7109375" customWidth="1"/>
    <col min="7942" max="7942" width="10.140625" customWidth="1"/>
    <col min="7943" max="7943" width="13.140625" customWidth="1"/>
    <col min="7944" max="7945" width="10.140625" customWidth="1"/>
    <col min="7946" max="7946" width="8.85546875" customWidth="1"/>
    <col min="7947" max="7947" width="9.85546875" customWidth="1"/>
    <col min="7948" max="7948" width="18.85546875" customWidth="1"/>
    <col min="8193" max="8193" width="13.140625" customWidth="1"/>
    <col min="8194" max="8194" width="5.7109375" customWidth="1"/>
    <col min="8195" max="8195" width="10.140625" customWidth="1"/>
    <col min="8196" max="8196" width="12.42578125" customWidth="1"/>
    <col min="8197" max="8197" width="5.7109375" customWidth="1"/>
    <col min="8198" max="8198" width="10.140625" customWidth="1"/>
    <col min="8199" max="8199" width="13.140625" customWidth="1"/>
    <col min="8200" max="8201" width="10.140625" customWidth="1"/>
    <col min="8202" max="8202" width="8.85546875" customWidth="1"/>
    <col min="8203" max="8203" width="9.85546875" customWidth="1"/>
    <col min="8204" max="8204" width="18.85546875" customWidth="1"/>
    <col min="8449" max="8449" width="13.140625" customWidth="1"/>
    <col min="8450" max="8450" width="5.7109375" customWidth="1"/>
    <col min="8451" max="8451" width="10.140625" customWidth="1"/>
    <col min="8452" max="8452" width="12.42578125" customWidth="1"/>
    <col min="8453" max="8453" width="5.7109375" customWidth="1"/>
    <col min="8454" max="8454" width="10.140625" customWidth="1"/>
    <col min="8455" max="8455" width="13.140625" customWidth="1"/>
    <col min="8456" max="8457" width="10.140625" customWidth="1"/>
    <col min="8458" max="8458" width="8.85546875" customWidth="1"/>
    <col min="8459" max="8459" width="9.85546875" customWidth="1"/>
    <col min="8460" max="8460" width="18.85546875" customWidth="1"/>
    <col min="8705" max="8705" width="13.140625" customWidth="1"/>
    <col min="8706" max="8706" width="5.7109375" customWidth="1"/>
    <col min="8707" max="8707" width="10.140625" customWidth="1"/>
    <col min="8708" max="8708" width="12.42578125" customWidth="1"/>
    <col min="8709" max="8709" width="5.7109375" customWidth="1"/>
    <col min="8710" max="8710" width="10.140625" customWidth="1"/>
    <col min="8711" max="8711" width="13.140625" customWidth="1"/>
    <col min="8712" max="8713" width="10.140625" customWidth="1"/>
    <col min="8714" max="8714" width="8.85546875" customWidth="1"/>
    <col min="8715" max="8715" width="9.85546875" customWidth="1"/>
    <col min="8716" max="8716" width="18.85546875" customWidth="1"/>
    <col min="8961" max="8961" width="13.140625" customWidth="1"/>
    <col min="8962" max="8962" width="5.7109375" customWidth="1"/>
    <col min="8963" max="8963" width="10.140625" customWidth="1"/>
    <col min="8964" max="8964" width="12.42578125" customWidth="1"/>
    <col min="8965" max="8965" width="5.7109375" customWidth="1"/>
    <col min="8966" max="8966" width="10.140625" customWidth="1"/>
    <col min="8967" max="8967" width="13.140625" customWidth="1"/>
    <col min="8968" max="8969" width="10.140625" customWidth="1"/>
    <col min="8970" max="8970" width="8.85546875" customWidth="1"/>
    <col min="8971" max="8971" width="9.85546875" customWidth="1"/>
    <col min="8972" max="8972" width="18.85546875" customWidth="1"/>
    <col min="9217" max="9217" width="13.140625" customWidth="1"/>
    <col min="9218" max="9218" width="5.7109375" customWidth="1"/>
    <col min="9219" max="9219" width="10.140625" customWidth="1"/>
    <col min="9220" max="9220" width="12.42578125" customWidth="1"/>
    <col min="9221" max="9221" width="5.7109375" customWidth="1"/>
    <col min="9222" max="9222" width="10.140625" customWidth="1"/>
    <col min="9223" max="9223" width="13.140625" customWidth="1"/>
    <col min="9224" max="9225" width="10.140625" customWidth="1"/>
    <col min="9226" max="9226" width="8.85546875" customWidth="1"/>
    <col min="9227" max="9227" width="9.85546875" customWidth="1"/>
    <col min="9228" max="9228" width="18.85546875" customWidth="1"/>
    <col min="9473" max="9473" width="13.140625" customWidth="1"/>
    <col min="9474" max="9474" width="5.7109375" customWidth="1"/>
    <col min="9475" max="9475" width="10.140625" customWidth="1"/>
    <col min="9476" max="9476" width="12.42578125" customWidth="1"/>
    <col min="9477" max="9477" width="5.7109375" customWidth="1"/>
    <col min="9478" max="9478" width="10.140625" customWidth="1"/>
    <col min="9479" max="9479" width="13.140625" customWidth="1"/>
    <col min="9480" max="9481" width="10.140625" customWidth="1"/>
    <col min="9482" max="9482" width="8.85546875" customWidth="1"/>
    <col min="9483" max="9483" width="9.85546875" customWidth="1"/>
    <col min="9484" max="9484" width="18.85546875" customWidth="1"/>
    <col min="9729" max="9729" width="13.140625" customWidth="1"/>
    <col min="9730" max="9730" width="5.7109375" customWidth="1"/>
    <col min="9731" max="9731" width="10.140625" customWidth="1"/>
    <col min="9732" max="9732" width="12.42578125" customWidth="1"/>
    <col min="9733" max="9733" width="5.7109375" customWidth="1"/>
    <col min="9734" max="9734" width="10.140625" customWidth="1"/>
    <col min="9735" max="9735" width="13.140625" customWidth="1"/>
    <col min="9736" max="9737" width="10.140625" customWidth="1"/>
    <col min="9738" max="9738" width="8.85546875" customWidth="1"/>
    <col min="9739" max="9739" width="9.85546875" customWidth="1"/>
    <col min="9740" max="9740" width="18.85546875" customWidth="1"/>
    <col min="9985" max="9985" width="13.140625" customWidth="1"/>
    <col min="9986" max="9986" width="5.7109375" customWidth="1"/>
    <col min="9987" max="9987" width="10.140625" customWidth="1"/>
    <col min="9988" max="9988" width="12.42578125" customWidth="1"/>
    <col min="9989" max="9989" width="5.7109375" customWidth="1"/>
    <col min="9990" max="9990" width="10.140625" customWidth="1"/>
    <col min="9991" max="9991" width="13.140625" customWidth="1"/>
    <col min="9992" max="9993" width="10.140625" customWidth="1"/>
    <col min="9994" max="9994" width="8.85546875" customWidth="1"/>
    <col min="9995" max="9995" width="9.85546875" customWidth="1"/>
    <col min="9996" max="9996" width="18.85546875" customWidth="1"/>
    <col min="10241" max="10241" width="13.140625" customWidth="1"/>
    <col min="10242" max="10242" width="5.7109375" customWidth="1"/>
    <col min="10243" max="10243" width="10.140625" customWidth="1"/>
    <col min="10244" max="10244" width="12.42578125" customWidth="1"/>
    <col min="10245" max="10245" width="5.7109375" customWidth="1"/>
    <col min="10246" max="10246" width="10.140625" customWidth="1"/>
    <col min="10247" max="10247" width="13.140625" customWidth="1"/>
    <col min="10248" max="10249" width="10.140625" customWidth="1"/>
    <col min="10250" max="10250" width="8.85546875" customWidth="1"/>
    <col min="10251" max="10251" width="9.85546875" customWidth="1"/>
    <col min="10252" max="10252" width="18.85546875" customWidth="1"/>
    <col min="10497" max="10497" width="13.140625" customWidth="1"/>
    <col min="10498" max="10498" width="5.7109375" customWidth="1"/>
    <col min="10499" max="10499" width="10.140625" customWidth="1"/>
    <col min="10500" max="10500" width="12.42578125" customWidth="1"/>
    <col min="10501" max="10501" width="5.7109375" customWidth="1"/>
    <col min="10502" max="10502" width="10.140625" customWidth="1"/>
    <col min="10503" max="10503" width="13.140625" customWidth="1"/>
    <col min="10504" max="10505" width="10.140625" customWidth="1"/>
    <col min="10506" max="10506" width="8.85546875" customWidth="1"/>
    <col min="10507" max="10507" width="9.85546875" customWidth="1"/>
    <col min="10508" max="10508" width="18.85546875" customWidth="1"/>
    <col min="10753" max="10753" width="13.140625" customWidth="1"/>
    <col min="10754" max="10754" width="5.7109375" customWidth="1"/>
    <col min="10755" max="10755" width="10.140625" customWidth="1"/>
    <col min="10756" max="10756" width="12.42578125" customWidth="1"/>
    <col min="10757" max="10757" width="5.7109375" customWidth="1"/>
    <col min="10758" max="10758" width="10.140625" customWidth="1"/>
    <col min="10759" max="10759" width="13.140625" customWidth="1"/>
    <col min="10760" max="10761" width="10.140625" customWidth="1"/>
    <col min="10762" max="10762" width="8.85546875" customWidth="1"/>
    <col min="10763" max="10763" width="9.85546875" customWidth="1"/>
    <col min="10764" max="10764" width="18.85546875" customWidth="1"/>
    <col min="11009" max="11009" width="13.140625" customWidth="1"/>
    <col min="11010" max="11010" width="5.7109375" customWidth="1"/>
    <col min="11011" max="11011" width="10.140625" customWidth="1"/>
    <col min="11012" max="11012" width="12.42578125" customWidth="1"/>
    <col min="11013" max="11013" width="5.7109375" customWidth="1"/>
    <col min="11014" max="11014" width="10.140625" customWidth="1"/>
    <col min="11015" max="11015" width="13.140625" customWidth="1"/>
    <col min="11016" max="11017" width="10.140625" customWidth="1"/>
    <col min="11018" max="11018" width="8.85546875" customWidth="1"/>
    <col min="11019" max="11019" width="9.85546875" customWidth="1"/>
    <col min="11020" max="11020" width="18.85546875" customWidth="1"/>
    <col min="11265" max="11265" width="13.140625" customWidth="1"/>
    <col min="11266" max="11266" width="5.7109375" customWidth="1"/>
    <col min="11267" max="11267" width="10.140625" customWidth="1"/>
    <col min="11268" max="11268" width="12.42578125" customWidth="1"/>
    <col min="11269" max="11269" width="5.7109375" customWidth="1"/>
    <col min="11270" max="11270" width="10.140625" customWidth="1"/>
    <col min="11271" max="11271" width="13.140625" customWidth="1"/>
    <col min="11272" max="11273" width="10.140625" customWidth="1"/>
    <col min="11274" max="11274" width="8.85546875" customWidth="1"/>
    <col min="11275" max="11275" width="9.85546875" customWidth="1"/>
    <col min="11276" max="11276" width="18.85546875" customWidth="1"/>
    <col min="11521" max="11521" width="13.140625" customWidth="1"/>
    <col min="11522" max="11522" width="5.7109375" customWidth="1"/>
    <col min="11523" max="11523" width="10.140625" customWidth="1"/>
    <col min="11524" max="11524" width="12.42578125" customWidth="1"/>
    <col min="11525" max="11525" width="5.7109375" customWidth="1"/>
    <col min="11526" max="11526" width="10.140625" customWidth="1"/>
    <col min="11527" max="11527" width="13.140625" customWidth="1"/>
    <col min="11528" max="11529" width="10.140625" customWidth="1"/>
    <col min="11530" max="11530" width="8.85546875" customWidth="1"/>
    <col min="11531" max="11531" width="9.85546875" customWidth="1"/>
    <col min="11532" max="11532" width="18.85546875" customWidth="1"/>
    <col min="11777" max="11777" width="13.140625" customWidth="1"/>
    <col min="11778" max="11778" width="5.7109375" customWidth="1"/>
    <col min="11779" max="11779" width="10.140625" customWidth="1"/>
    <col min="11780" max="11780" width="12.42578125" customWidth="1"/>
    <col min="11781" max="11781" width="5.7109375" customWidth="1"/>
    <col min="11782" max="11782" width="10.140625" customWidth="1"/>
    <col min="11783" max="11783" width="13.140625" customWidth="1"/>
    <col min="11784" max="11785" width="10.140625" customWidth="1"/>
    <col min="11786" max="11786" width="8.85546875" customWidth="1"/>
    <col min="11787" max="11787" width="9.85546875" customWidth="1"/>
    <col min="11788" max="11788" width="18.85546875" customWidth="1"/>
    <col min="12033" max="12033" width="13.140625" customWidth="1"/>
    <col min="12034" max="12034" width="5.7109375" customWidth="1"/>
    <col min="12035" max="12035" width="10.140625" customWidth="1"/>
    <col min="12036" max="12036" width="12.42578125" customWidth="1"/>
    <col min="12037" max="12037" width="5.7109375" customWidth="1"/>
    <col min="12038" max="12038" width="10.140625" customWidth="1"/>
    <col min="12039" max="12039" width="13.140625" customWidth="1"/>
    <col min="12040" max="12041" width="10.140625" customWidth="1"/>
    <col min="12042" max="12042" width="8.85546875" customWidth="1"/>
    <col min="12043" max="12043" width="9.85546875" customWidth="1"/>
    <col min="12044" max="12044" width="18.85546875" customWidth="1"/>
    <col min="12289" max="12289" width="13.140625" customWidth="1"/>
    <col min="12290" max="12290" width="5.7109375" customWidth="1"/>
    <col min="12291" max="12291" width="10.140625" customWidth="1"/>
    <col min="12292" max="12292" width="12.42578125" customWidth="1"/>
    <col min="12293" max="12293" width="5.7109375" customWidth="1"/>
    <col min="12294" max="12294" width="10.140625" customWidth="1"/>
    <col min="12295" max="12295" width="13.140625" customWidth="1"/>
    <col min="12296" max="12297" width="10.140625" customWidth="1"/>
    <col min="12298" max="12298" width="8.85546875" customWidth="1"/>
    <col min="12299" max="12299" width="9.85546875" customWidth="1"/>
    <col min="12300" max="12300" width="18.85546875" customWidth="1"/>
    <col min="12545" max="12545" width="13.140625" customWidth="1"/>
    <col min="12546" max="12546" width="5.7109375" customWidth="1"/>
    <col min="12547" max="12547" width="10.140625" customWidth="1"/>
    <col min="12548" max="12548" width="12.42578125" customWidth="1"/>
    <col min="12549" max="12549" width="5.7109375" customWidth="1"/>
    <col min="12550" max="12550" width="10.140625" customWidth="1"/>
    <col min="12551" max="12551" width="13.140625" customWidth="1"/>
    <col min="12552" max="12553" width="10.140625" customWidth="1"/>
    <col min="12554" max="12554" width="8.85546875" customWidth="1"/>
    <col min="12555" max="12555" width="9.85546875" customWidth="1"/>
    <col min="12556" max="12556" width="18.85546875" customWidth="1"/>
    <col min="12801" max="12801" width="13.140625" customWidth="1"/>
    <col min="12802" max="12802" width="5.7109375" customWidth="1"/>
    <col min="12803" max="12803" width="10.140625" customWidth="1"/>
    <col min="12804" max="12804" width="12.42578125" customWidth="1"/>
    <col min="12805" max="12805" width="5.7109375" customWidth="1"/>
    <col min="12806" max="12806" width="10.140625" customWidth="1"/>
    <col min="12807" max="12807" width="13.140625" customWidth="1"/>
    <col min="12808" max="12809" width="10.140625" customWidth="1"/>
    <col min="12810" max="12810" width="8.85546875" customWidth="1"/>
    <col min="12811" max="12811" width="9.85546875" customWidth="1"/>
    <col min="12812" max="12812" width="18.85546875" customWidth="1"/>
    <col min="13057" max="13057" width="13.140625" customWidth="1"/>
    <col min="13058" max="13058" width="5.7109375" customWidth="1"/>
    <col min="13059" max="13059" width="10.140625" customWidth="1"/>
    <col min="13060" max="13060" width="12.42578125" customWidth="1"/>
    <col min="13061" max="13061" width="5.7109375" customWidth="1"/>
    <col min="13062" max="13062" width="10.140625" customWidth="1"/>
    <col min="13063" max="13063" width="13.140625" customWidth="1"/>
    <col min="13064" max="13065" width="10.140625" customWidth="1"/>
    <col min="13066" max="13066" width="8.85546875" customWidth="1"/>
    <col min="13067" max="13067" width="9.85546875" customWidth="1"/>
    <col min="13068" max="13068" width="18.85546875" customWidth="1"/>
    <col min="13313" max="13313" width="13.140625" customWidth="1"/>
    <col min="13314" max="13314" width="5.7109375" customWidth="1"/>
    <col min="13315" max="13315" width="10.140625" customWidth="1"/>
    <col min="13316" max="13316" width="12.42578125" customWidth="1"/>
    <col min="13317" max="13317" width="5.7109375" customWidth="1"/>
    <col min="13318" max="13318" width="10.140625" customWidth="1"/>
    <col min="13319" max="13319" width="13.140625" customWidth="1"/>
    <col min="13320" max="13321" width="10.140625" customWidth="1"/>
    <col min="13322" max="13322" width="8.85546875" customWidth="1"/>
    <col min="13323" max="13323" width="9.85546875" customWidth="1"/>
    <col min="13324" max="13324" width="18.85546875" customWidth="1"/>
    <col min="13569" max="13569" width="13.140625" customWidth="1"/>
    <col min="13570" max="13570" width="5.7109375" customWidth="1"/>
    <col min="13571" max="13571" width="10.140625" customWidth="1"/>
    <col min="13572" max="13572" width="12.42578125" customWidth="1"/>
    <col min="13573" max="13573" width="5.7109375" customWidth="1"/>
    <col min="13574" max="13574" width="10.140625" customWidth="1"/>
    <col min="13575" max="13575" width="13.140625" customWidth="1"/>
    <col min="13576" max="13577" width="10.140625" customWidth="1"/>
    <col min="13578" max="13578" width="8.85546875" customWidth="1"/>
    <col min="13579" max="13579" width="9.85546875" customWidth="1"/>
    <col min="13580" max="13580" width="18.85546875" customWidth="1"/>
    <col min="13825" max="13825" width="13.140625" customWidth="1"/>
    <col min="13826" max="13826" width="5.7109375" customWidth="1"/>
    <col min="13827" max="13827" width="10.140625" customWidth="1"/>
    <col min="13828" max="13828" width="12.42578125" customWidth="1"/>
    <col min="13829" max="13829" width="5.7109375" customWidth="1"/>
    <col min="13830" max="13830" width="10.140625" customWidth="1"/>
    <col min="13831" max="13831" width="13.140625" customWidth="1"/>
    <col min="13832" max="13833" width="10.140625" customWidth="1"/>
    <col min="13834" max="13834" width="8.85546875" customWidth="1"/>
    <col min="13835" max="13835" width="9.85546875" customWidth="1"/>
    <col min="13836" max="13836" width="18.85546875" customWidth="1"/>
    <col min="14081" max="14081" width="13.140625" customWidth="1"/>
    <col min="14082" max="14082" width="5.7109375" customWidth="1"/>
    <col min="14083" max="14083" width="10.140625" customWidth="1"/>
    <col min="14084" max="14084" width="12.42578125" customWidth="1"/>
    <col min="14085" max="14085" width="5.7109375" customWidth="1"/>
    <col min="14086" max="14086" width="10.140625" customWidth="1"/>
    <col min="14087" max="14087" width="13.140625" customWidth="1"/>
    <col min="14088" max="14089" width="10.140625" customWidth="1"/>
    <col min="14090" max="14090" width="8.85546875" customWidth="1"/>
    <col min="14091" max="14091" width="9.85546875" customWidth="1"/>
    <col min="14092" max="14092" width="18.85546875" customWidth="1"/>
    <col min="14337" max="14337" width="13.140625" customWidth="1"/>
    <col min="14338" max="14338" width="5.7109375" customWidth="1"/>
    <col min="14339" max="14339" width="10.140625" customWidth="1"/>
    <col min="14340" max="14340" width="12.42578125" customWidth="1"/>
    <col min="14341" max="14341" width="5.7109375" customWidth="1"/>
    <col min="14342" max="14342" width="10.140625" customWidth="1"/>
    <col min="14343" max="14343" width="13.140625" customWidth="1"/>
    <col min="14344" max="14345" width="10.140625" customWidth="1"/>
    <col min="14346" max="14346" width="8.85546875" customWidth="1"/>
    <col min="14347" max="14347" width="9.85546875" customWidth="1"/>
    <col min="14348" max="14348" width="18.85546875" customWidth="1"/>
    <col min="14593" max="14593" width="13.140625" customWidth="1"/>
    <col min="14594" max="14594" width="5.7109375" customWidth="1"/>
    <col min="14595" max="14595" width="10.140625" customWidth="1"/>
    <col min="14596" max="14596" width="12.42578125" customWidth="1"/>
    <col min="14597" max="14597" width="5.7109375" customWidth="1"/>
    <col min="14598" max="14598" width="10.140625" customWidth="1"/>
    <col min="14599" max="14599" width="13.140625" customWidth="1"/>
    <col min="14600" max="14601" width="10.140625" customWidth="1"/>
    <col min="14602" max="14602" width="8.85546875" customWidth="1"/>
    <col min="14603" max="14603" width="9.85546875" customWidth="1"/>
    <col min="14604" max="14604" width="18.85546875" customWidth="1"/>
    <col min="14849" max="14849" width="13.140625" customWidth="1"/>
    <col min="14850" max="14850" width="5.7109375" customWidth="1"/>
    <col min="14851" max="14851" width="10.140625" customWidth="1"/>
    <col min="14852" max="14852" width="12.42578125" customWidth="1"/>
    <col min="14853" max="14853" width="5.7109375" customWidth="1"/>
    <col min="14854" max="14854" width="10.140625" customWidth="1"/>
    <col min="14855" max="14855" width="13.140625" customWidth="1"/>
    <col min="14856" max="14857" width="10.140625" customWidth="1"/>
    <col min="14858" max="14858" width="8.85546875" customWidth="1"/>
    <col min="14859" max="14859" width="9.85546875" customWidth="1"/>
    <col min="14860" max="14860" width="18.85546875" customWidth="1"/>
    <col min="15105" max="15105" width="13.140625" customWidth="1"/>
    <col min="15106" max="15106" width="5.7109375" customWidth="1"/>
    <col min="15107" max="15107" width="10.140625" customWidth="1"/>
    <col min="15108" max="15108" width="12.42578125" customWidth="1"/>
    <col min="15109" max="15109" width="5.7109375" customWidth="1"/>
    <col min="15110" max="15110" width="10.140625" customWidth="1"/>
    <col min="15111" max="15111" width="13.140625" customWidth="1"/>
    <col min="15112" max="15113" width="10.140625" customWidth="1"/>
    <col min="15114" max="15114" width="8.85546875" customWidth="1"/>
    <col min="15115" max="15115" width="9.85546875" customWidth="1"/>
    <col min="15116" max="15116" width="18.85546875" customWidth="1"/>
    <col min="15361" max="15361" width="13.140625" customWidth="1"/>
    <col min="15362" max="15362" width="5.7109375" customWidth="1"/>
    <col min="15363" max="15363" width="10.140625" customWidth="1"/>
    <col min="15364" max="15364" width="12.42578125" customWidth="1"/>
    <col min="15365" max="15365" width="5.7109375" customWidth="1"/>
    <col min="15366" max="15366" width="10.140625" customWidth="1"/>
    <col min="15367" max="15367" width="13.140625" customWidth="1"/>
    <col min="15368" max="15369" width="10.140625" customWidth="1"/>
    <col min="15370" max="15370" width="8.85546875" customWidth="1"/>
    <col min="15371" max="15371" width="9.85546875" customWidth="1"/>
    <col min="15372" max="15372" width="18.85546875" customWidth="1"/>
    <col min="15617" max="15617" width="13.140625" customWidth="1"/>
    <col min="15618" max="15618" width="5.7109375" customWidth="1"/>
    <col min="15619" max="15619" width="10.140625" customWidth="1"/>
    <col min="15620" max="15620" width="12.42578125" customWidth="1"/>
    <col min="15621" max="15621" width="5.7109375" customWidth="1"/>
    <col min="15622" max="15622" width="10.140625" customWidth="1"/>
    <col min="15623" max="15623" width="13.140625" customWidth="1"/>
    <col min="15624" max="15625" width="10.140625" customWidth="1"/>
    <col min="15626" max="15626" width="8.85546875" customWidth="1"/>
    <col min="15627" max="15627" width="9.85546875" customWidth="1"/>
    <col min="15628" max="15628" width="18.85546875" customWidth="1"/>
    <col min="15873" max="15873" width="13.140625" customWidth="1"/>
    <col min="15874" max="15874" width="5.7109375" customWidth="1"/>
    <col min="15875" max="15875" width="10.140625" customWidth="1"/>
    <col min="15876" max="15876" width="12.42578125" customWidth="1"/>
    <col min="15877" max="15877" width="5.7109375" customWidth="1"/>
    <col min="15878" max="15878" width="10.140625" customWidth="1"/>
    <col min="15879" max="15879" width="13.140625" customWidth="1"/>
    <col min="15880" max="15881" width="10.140625" customWidth="1"/>
    <col min="15882" max="15882" width="8.85546875" customWidth="1"/>
    <col min="15883" max="15883" width="9.85546875" customWidth="1"/>
    <col min="15884" max="15884" width="18.85546875" customWidth="1"/>
    <col min="16129" max="16129" width="13.140625" customWidth="1"/>
    <col min="16130" max="16130" width="5.7109375" customWidth="1"/>
    <col min="16131" max="16131" width="10.140625" customWidth="1"/>
    <col min="16132" max="16132" width="12.42578125" customWidth="1"/>
    <col min="16133" max="16133" width="5.7109375" customWidth="1"/>
    <col min="16134" max="16134" width="10.140625" customWidth="1"/>
    <col min="16135" max="16135" width="13.140625" customWidth="1"/>
    <col min="16136" max="16137" width="10.140625" customWidth="1"/>
    <col min="16138" max="16138" width="8.85546875" customWidth="1"/>
    <col min="16139" max="16139" width="9.85546875" customWidth="1"/>
    <col min="16140" max="16140" width="18.85546875" customWidth="1"/>
  </cols>
  <sheetData>
    <row r="1" spans="1:12" ht="41.25" customHeight="1">
      <c r="A1" s="94" t="s">
        <v>215</v>
      </c>
      <c r="B1" s="95"/>
      <c r="D1" s="94" t="s">
        <v>216</v>
      </c>
      <c r="E1" s="95"/>
      <c r="G1" s="96" t="s">
        <v>217</v>
      </c>
      <c r="I1" s="97" t="s">
        <v>218</v>
      </c>
      <c r="J1" s="98"/>
      <c r="L1" s="96" t="s">
        <v>219</v>
      </c>
    </row>
    <row r="2" spans="1:12" ht="39">
      <c r="A2" s="99" t="s">
        <v>220</v>
      </c>
      <c r="B2" s="100" t="s">
        <v>221</v>
      </c>
      <c r="D2" s="99" t="s">
        <v>222</v>
      </c>
      <c r="E2" s="100" t="s">
        <v>221</v>
      </c>
      <c r="G2" s="101" t="s">
        <v>223</v>
      </c>
      <c r="I2" s="99" t="s">
        <v>224</v>
      </c>
      <c r="J2" s="100" t="s">
        <v>225</v>
      </c>
      <c r="L2" s="101" t="s">
        <v>226</v>
      </c>
    </row>
    <row r="3" spans="1:12" ht="12.75" customHeight="1">
      <c r="A3" s="102" t="s">
        <v>227</v>
      </c>
      <c r="B3" s="103" t="s">
        <v>228</v>
      </c>
      <c r="D3" s="104" t="s">
        <v>229</v>
      </c>
      <c r="E3" s="105">
        <v>1</v>
      </c>
      <c r="G3" s="106"/>
      <c r="I3" s="102" t="s">
        <v>230</v>
      </c>
      <c r="J3" s="103">
        <v>0</v>
      </c>
      <c r="L3" s="106"/>
    </row>
    <row r="4" spans="1:12">
      <c r="A4" s="104" t="s">
        <v>231</v>
      </c>
      <c r="B4" s="105" t="s">
        <v>232</v>
      </c>
      <c r="D4" s="104" t="s">
        <v>233</v>
      </c>
      <c r="E4" s="105">
        <v>2</v>
      </c>
      <c r="G4" s="107">
        <v>0</v>
      </c>
      <c r="I4" s="108" t="s">
        <v>234</v>
      </c>
      <c r="J4" s="109">
        <v>0.4</v>
      </c>
      <c r="L4" s="107">
        <v>0.1</v>
      </c>
    </row>
    <row r="5" spans="1:12">
      <c r="A5" s="104" t="s">
        <v>235</v>
      </c>
      <c r="B5" s="105" t="s">
        <v>236</v>
      </c>
      <c r="D5" s="104" t="s">
        <v>237</v>
      </c>
      <c r="E5" s="105">
        <v>3</v>
      </c>
      <c r="G5" s="107">
        <v>5.0000000000000001E-3</v>
      </c>
      <c r="I5" s="104" t="s">
        <v>238</v>
      </c>
      <c r="J5" s="109">
        <v>0.65</v>
      </c>
      <c r="L5" s="107">
        <v>0.105</v>
      </c>
    </row>
    <row r="6" spans="1:12">
      <c r="A6" s="104" t="s">
        <v>239</v>
      </c>
      <c r="B6" s="105" t="s">
        <v>240</v>
      </c>
      <c r="D6" s="104"/>
      <c r="E6" s="105"/>
      <c r="G6" s="107">
        <v>0.01</v>
      </c>
      <c r="I6" s="104" t="s">
        <v>241</v>
      </c>
      <c r="J6" s="109">
        <v>0.9</v>
      </c>
      <c r="L6" s="107">
        <v>0.11</v>
      </c>
    </row>
    <row r="7" spans="1:12" ht="15.75" thickBot="1">
      <c r="A7" s="104" t="s">
        <v>242</v>
      </c>
      <c r="B7" s="105" t="s">
        <v>243</v>
      </c>
      <c r="D7" s="110">
        <v>2</v>
      </c>
      <c r="E7" s="111"/>
      <c r="G7" s="107">
        <v>1.4999999999999999E-2</v>
      </c>
      <c r="I7" s="104" t="s">
        <v>244</v>
      </c>
      <c r="J7" s="109">
        <v>1.1499999999999999</v>
      </c>
      <c r="L7" s="107">
        <v>0.115</v>
      </c>
    </row>
    <row r="8" spans="1:12" ht="12.75" customHeight="1">
      <c r="A8" s="104" t="s">
        <v>245</v>
      </c>
      <c r="B8" s="105" t="s">
        <v>246</v>
      </c>
      <c r="G8" s="107">
        <v>0.02</v>
      </c>
      <c r="I8" s="104" t="s">
        <v>247</v>
      </c>
      <c r="J8" s="109">
        <v>1.4</v>
      </c>
      <c r="L8" s="107">
        <v>0.12</v>
      </c>
    </row>
    <row r="9" spans="1:12">
      <c r="A9" s="104"/>
      <c r="B9" s="105"/>
      <c r="G9" s="107">
        <v>2.5000000000000001E-2</v>
      </c>
      <c r="I9" s="104" t="s">
        <v>248</v>
      </c>
      <c r="J9" s="109">
        <v>1.65</v>
      </c>
      <c r="L9" s="107">
        <v>0.125</v>
      </c>
    </row>
    <row r="10" spans="1:12">
      <c r="A10" s="104"/>
      <c r="B10" s="105"/>
      <c r="G10" s="107">
        <v>0.03</v>
      </c>
      <c r="I10" s="104" t="s">
        <v>249</v>
      </c>
      <c r="J10" s="109">
        <v>1.9</v>
      </c>
      <c r="L10" s="107">
        <v>0.13</v>
      </c>
    </row>
    <row r="11" spans="1:12" ht="15.75" thickBot="1">
      <c r="A11" s="110">
        <v>3</v>
      </c>
      <c r="B11" s="111"/>
      <c r="G11" s="107">
        <v>3.5000000000000003E-2</v>
      </c>
      <c r="I11" s="104" t="s">
        <v>250</v>
      </c>
      <c r="J11" s="109">
        <v>2.15</v>
      </c>
      <c r="L11" s="107">
        <v>0.13500000000000001</v>
      </c>
    </row>
    <row r="12" spans="1:12">
      <c r="G12" s="107">
        <v>0.04</v>
      </c>
      <c r="I12" s="104" t="s">
        <v>251</v>
      </c>
      <c r="J12" s="109">
        <v>2.4</v>
      </c>
      <c r="L12" s="107">
        <v>0.14000000000000001</v>
      </c>
    </row>
    <row r="13" spans="1:12">
      <c r="G13" s="107">
        <v>4.4999999999999998E-2</v>
      </c>
      <c r="I13" s="104" t="s">
        <v>252</v>
      </c>
      <c r="J13" s="109">
        <v>2.65</v>
      </c>
      <c r="L13" s="107">
        <v>0.14499999999999999</v>
      </c>
    </row>
    <row r="14" spans="1:12" ht="15.75" thickBot="1">
      <c r="G14" s="107">
        <v>0.05</v>
      </c>
      <c r="I14" s="108" t="s">
        <v>253</v>
      </c>
      <c r="J14" s="109">
        <v>2.9</v>
      </c>
      <c r="L14" s="107">
        <v>0.15</v>
      </c>
    </row>
    <row r="15" spans="1:12" ht="15.75" thickBot="1">
      <c r="A15" s="96" t="s">
        <v>254</v>
      </c>
      <c r="D15" s="411" t="s">
        <v>255</v>
      </c>
      <c r="G15" s="107">
        <v>5.5E-2</v>
      </c>
      <c r="I15" s="104"/>
      <c r="J15" s="105"/>
      <c r="L15" s="107">
        <v>0.155</v>
      </c>
    </row>
    <row r="16" spans="1:12" ht="27" thickBot="1">
      <c r="A16" s="112" t="s">
        <v>256</v>
      </c>
      <c r="D16" s="412"/>
      <c r="G16" s="113"/>
      <c r="I16" s="110"/>
      <c r="J16" s="111">
        <v>1</v>
      </c>
      <c r="L16" s="107">
        <v>0.16</v>
      </c>
    </row>
    <row r="17" spans="1:12" ht="15.75" thickBot="1">
      <c r="A17" s="114"/>
      <c r="D17" s="115"/>
      <c r="G17" s="116">
        <v>7</v>
      </c>
      <c r="L17" s="107">
        <v>0.16500000000000001</v>
      </c>
    </row>
    <row r="18" spans="1:12">
      <c r="A18" s="117">
        <v>0.01</v>
      </c>
      <c r="D18" s="117">
        <v>0</v>
      </c>
      <c r="L18" s="107">
        <v>0.17</v>
      </c>
    </row>
    <row r="19" spans="1:12">
      <c r="A19" s="117">
        <v>0.02</v>
      </c>
      <c r="D19" s="117">
        <v>0.01</v>
      </c>
      <c r="L19" s="107">
        <v>0.17499999999999999</v>
      </c>
    </row>
    <row r="20" spans="1:12">
      <c r="A20" s="117">
        <v>0.03</v>
      </c>
      <c r="D20" s="117">
        <v>0.02</v>
      </c>
      <c r="L20" s="107">
        <v>0.18</v>
      </c>
    </row>
    <row r="21" spans="1:12" ht="12.75" customHeight="1">
      <c r="A21" s="117">
        <v>0.04</v>
      </c>
      <c r="D21" s="117">
        <v>0.03</v>
      </c>
      <c r="L21" s="107">
        <v>0.185</v>
      </c>
    </row>
    <row r="22" spans="1:12" ht="12.75" customHeight="1">
      <c r="A22" s="117">
        <v>0.05</v>
      </c>
      <c r="D22" s="117">
        <v>0.04</v>
      </c>
      <c r="L22" s="107">
        <v>0.19</v>
      </c>
    </row>
    <row r="23" spans="1:12">
      <c r="A23" s="117">
        <v>0.06</v>
      </c>
      <c r="D23" s="114"/>
      <c r="L23" s="107">
        <v>0.19500000000000001</v>
      </c>
    </row>
    <row r="24" spans="1:12" ht="15.75" thickBot="1">
      <c r="A24" s="117">
        <v>7.0000000000000007E-2</v>
      </c>
      <c r="D24" s="116">
        <v>1</v>
      </c>
      <c r="L24" s="107">
        <v>0.2</v>
      </c>
    </row>
    <row r="25" spans="1:12">
      <c r="A25" s="117">
        <v>0.08</v>
      </c>
      <c r="L25" s="107">
        <v>0.20499999999999999</v>
      </c>
    </row>
    <row r="26" spans="1:12">
      <c r="A26" s="117">
        <v>0.09</v>
      </c>
      <c r="L26" s="107">
        <v>0.21</v>
      </c>
    </row>
    <row r="27" spans="1:12">
      <c r="A27" s="117">
        <v>0.1</v>
      </c>
      <c r="L27" s="107">
        <v>0.215</v>
      </c>
    </row>
    <row r="28" spans="1:12">
      <c r="A28" s="117">
        <v>0.11</v>
      </c>
      <c r="L28" s="107">
        <v>0.22</v>
      </c>
    </row>
    <row r="29" spans="1:12">
      <c r="A29" s="117">
        <v>0.12</v>
      </c>
      <c r="L29" s="107">
        <v>0.22500000000000001</v>
      </c>
    </row>
    <row r="30" spans="1:12">
      <c r="A30" s="117">
        <v>0.13</v>
      </c>
      <c r="L30" s="107">
        <v>0.23</v>
      </c>
    </row>
    <row r="31" spans="1:12">
      <c r="A31" s="117">
        <v>0.14000000000000001</v>
      </c>
      <c r="L31" s="107">
        <v>0.23499999999999999</v>
      </c>
    </row>
    <row r="32" spans="1:12">
      <c r="A32" s="117">
        <v>0.15</v>
      </c>
      <c r="L32" s="107">
        <v>0.24</v>
      </c>
    </row>
    <row r="33" spans="1:12">
      <c r="A33" s="117">
        <v>0.16</v>
      </c>
      <c r="L33" s="107">
        <v>0.245</v>
      </c>
    </row>
    <row r="34" spans="1:12">
      <c r="A34" s="117">
        <v>0.17</v>
      </c>
      <c r="L34" s="107">
        <v>0.25</v>
      </c>
    </row>
    <row r="35" spans="1:12">
      <c r="A35" s="117">
        <v>0.18</v>
      </c>
      <c r="L35" s="114"/>
    </row>
    <row r="36" spans="1:12" ht="15.75" thickBot="1">
      <c r="A36" s="117">
        <v>0.19</v>
      </c>
      <c r="L36" s="116">
        <v>16</v>
      </c>
    </row>
    <row r="37" spans="1:12">
      <c r="A37" s="117">
        <v>0.2</v>
      </c>
    </row>
    <row r="38" spans="1:12">
      <c r="A38" s="117">
        <v>0.21</v>
      </c>
    </row>
    <row r="39" spans="1:12">
      <c r="A39" s="117">
        <v>0.22</v>
      </c>
    </row>
    <row r="40" spans="1:12">
      <c r="A40" s="117">
        <v>0.23</v>
      </c>
    </row>
    <row r="41" spans="1:12">
      <c r="A41" s="117">
        <v>0.24</v>
      </c>
    </row>
    <row r="42" spans="1:12">
      <c r="A42" s="117">
        <v>0.25</v>
      </c>
    </row>
    <row r="43" spans="1:12">
      <c r="A43" s="117">
        <v>0.26</v>
      </c>
    </row>
    <row r="44" spans="1:12">
      <c r="A44" s="117">
        <v>0.27</v>
      </c>
    </row>
    <row r="45" spans="1:12">
      <c r="A45" s="117">
        <v>0.28000000000000003</v>
      </c>
    </row>
    <row r="46" spans="1:12">
      <c r="A46" s="117">
        <v>0.28999999999999998</v>
      </c>
    </row>
    <row r="47" spans="1:12">
      <c r="A47" s="117">
        <v>0.3</v>
      </c>
    </row>
    <row r="48" spans="1:12">
      <c r="A48" s="117">
        <v>0.31</v>
      </c>
    </row>
    <row r="49" spans="1:1">
      <c r="A49" s="117">
        <v>0.32</v>
      </c>
    </row>
    <row r="50" spans="1:1">
      <c r="A50" s="117">
        <v>0.33</v>
      </c>
    </row>
    <row r="51" spans="1:1">
      <c r="A51" s="117">
        <v>0.34</v>
      </c>
    </row>
    <row r="52" spans="1:1">
      <c r="A52" s="117">
        <v>0.35</v>
      </c>
    </row>
    <row r="53" spans="1:1">
      <c r="A53" s="117">
        <v>0.36</v>
      </c>
    </row>
    <row r="54" spans="1:1">
      <c r="A54" s="117">
        <v>0.37</v>
      </c>
    </row>
    <row r="55" spans="1:1">
      <c r="A55" s="117">
        <v>0.38</v>
      </c>
    </row>
    <row r="56" spans="1:1">
      <c r="A56" s="117">
        <v>0.39</v>
      </c>
    </row>
    <row r="57" spans="1:1">
      <c r="A57" s="117">
        <v>0.4</v>
      </c>
    </row>
    <row r="58" spans="1:1">
      <c r="A58" s="117">
        <v>0.41</v>
      </c>
    </row>
    <row r="59" spans="1:1">
      <c r="A59" s="117">
        <v>0.42</v>
      </c>
    </row>
    <row r="60" spans="1:1">
      <c r="A60" s="117">
        <v>0.43</v>
      </c>
    </row>
    <row r="61" spans="1:1">
      <c r="A61" s="117">
        <v>0.44</v>
      </c>
    </row>
    <row r="62" spans="1:1">
      <c r="A62" s="117">
        <v>0.45</v>
      </c>
    </row>
    <row r="63" spans="1:1">
      <c r="A63" s="117">
        <v>0.46</v>
      </c>
    </row>
    <row r="64" spans="1:1">
      <c r="A64" s="117">
        <v>0.47</v>
      </c>
    </row>
    <row r="65" spans="1:1">
      <c r="A65" s="117">
        <v>0.48</v>
      </c>
    </row>
    <row r="66" spans="1:1">
      <c r="A66" s="117">
        <v>0.49</v>
      </c>
    </row>
    <row r="67" spans="1:1">
      <c r="A67" s="117">
        <v>0.5</v>
      </c>
    </row>
    <row r="68" spans="1:1">
      <c r="A68" s="117">
        <v>0.51</v>
      </c>
    </row>
    <row r="69" spans="1:1">
      <c r="A69" s="117">
        <v>0.52</v>
      </c>
    </row>
    <row r="70" spans="1:1">
      <c r="A70" s="117">
        <v>0.53</v>
      </c>
    </row>
    <row r="71" spans="1:1">
      <c r="A71" s="117">
        <v>0.54</v>
      </c>
    </row>
    <row r="72" spans="1:1">
      <c r="A72" s="117">
        <v>0.55000000000000004</v>
      </c>
    </row>
    <row r="73" spans="1:1">
      <c r="A73" s="117">
        <v>0.56000000000000005</v>
      </c>
    </row>
    <row r="74" spans="1:1">
      <c r="A74" s="117">
        <v>0.56999999999999995</v>
      </c>
    </row>
    <row r="75" spans="1:1">
      <c r="A75" s="117">
        <v>0.57999999999999996</v>
      </c>
    </row>
    <row r="76" spans="1:1">
      <c r="A76" s="117">
        <v>0.59</v>
      </c>
    </row>
    <row r="77" spans="1:1">
      <c r="A77" s="117">
        <v>0.6</v>
      </c>
    </row>
    <row r="78" spans="1:1">
      <c r="A78" s="117">
        <v>0.61</v>
      </c>
    </row>
    <row r="79" spans="1:1">
      <c r="A79" s="117">
        <v>0.62</v>
      </c>
    </row>
    <row r="80" spans="1:1">
      <c r="A80" s="117">
        <v>0.63</v>
      </c>
    </row>
    <row r="81" spans="1:1">
      <c r="A81" s="117">
        <v>0.64</v>
      </c>
    </row>
    <row r="82" spans="1:1">
      <c r="A82" s="117">
        <v>0.65</v>
      </c>
    </row>
    <row r="83" spans="1:1">
      <c r="A83" s="117">
        <v>0.66</v>
      </c>
    </row>
    <row r="84" spans="1:1">
      <c r="A84" s="117">
        <v>0.67</v>
      </c>
    </row>
    <row r="85" spans="1:1">
      <c r="A85" s="117">
        <v>0.68</v>
      </c>
    </row>
    <row r="86" spans="1:1">
      <c r="A86" s="117">
        <v>0.69</v>
      </c>
    </row>
    <row r="87" spans="1:1">
      <c r="A87" s="117">
        <v>0.7</v>
      </c>
    </row>
    <row r="88" spans="1:1">
      <c r="A88" s="117">
        <v>0.71</v>
      </c>
    </row>
    <row r="89" spans="1:1">
      <c r="A89" s="117">
        <v>0.72</v>
      </c>
    </row>
    <row r="90" spans="1:1">
      <c r="A90" s="117">
        <v>0.73</v>
      </c>
    </row>
    <row r="91" spans="1:1">
      <c r="A91" s="117">
        <v>0.74</v>
      </c>
    </row>
    <row r="92" spans="1:1">
      <c r="A92" s="117">
        <v>0.75</v>
      </c>
    </row>
    <row r="93" spans="1:1">
      <c r="A93" s="117">
        <v>0.76</v>
      </c>
    </row>
    <row r="94" spans="1:1">
      <c r="A94" s="117">
        <v>0.77</v>
      </c>
    </row>
    <row r="95" spans="1:1">
      <c r="A95" s="117">
        <v>0.78</v>
      </c>
    </row>
    <row r="96" spans="1:1">
      <c r="A96" s="117">
        <v>0.79</v>
      </c>
    </row>
    <row r="97" spans="1:1">
      <c r="A97" s="117">
        <v>0.8</v>
      </c>
    </row>
    <row r="98" spans="1:1">
      <c r="A98" s="117">
        <v>0.81</v>
      </c>
    </row>
    <row r="99" spans="1:1">
      <c r="A99" s="117">
        <v>0.82</v>
      </c>
    </row>
    <row r="100" spans="1:1">
      <c r="A100" s="117">
        <v>0.83</v>
      </c>
    </row>
    <row r="101" spans="1:1">
      <c r="A101" s="117">
        <v>0.84</v>
      </c>
    </row>
    <row r="102" spans="1:1">
      <c r="A102" s="117">
        <v>0.85</v>
      </c>
    </row>
    <row r="103" spans="1:1">
      <c r="A103" s="117">
        <v>0.86</v>
      </c>
    </row>
    <row r="104" spans="1:1">
      <c r="A104" s="117">
        <v>0.87</v>
      </c>
    </row>
    <row r="105" spans="1:1">
      <c r="A105" s="117">
        <v>0.88</v>
      </c>
    </row>
    <row r="106" spans="1:1">
      <c r="A106" s="117">
        <v>0.89</v>
      </c>
    </row>
    <row r="107" spans="1:1">
      <c r="A107" s="117">
        <v>0.9</v>
      </c>
    </row>
    <row r="108" spans="1:1">
      <c r="A108" s="117">
        <v>0.91</v>
      </c>
    </row>
    <row r="109" spans="1:1">
      <c r="A109" s="117">
        <v>0.92</v>
      </c>
    </row>
    <row r="110" spans="1:1">
      <c r="A110" s="117">
        <v>0.93</v>
      </c>
    </row>
    <row r="111" spans="1:1">
      <c r="A111" s="117">
        <v>0.94</v>
      </c>
    </row>
    <row r="112" spans="1:1">
      <c r="A112" s="117">
        <v>0.95</v>
      </c>
    </row>
    <row r="113" spans="1:1">
      <c r="A113" s="117">
        <v>0.96</v>
      </c>
    </row>
    <row r="114" spans="1:1">
      <c r="A114" s="117">
        <v>0.97</v>
      </c>
    </row>
    <row r="115" spans="1:1">
      <c r="A115" s="117">
        <v>0.98</v>
      </c>
    </row>
    <row r="116" spans="1:1">
      <c r="A116" s="117">
        <v>0.99</v>
      </c>
    </row>
    <row r="117" spans="1:1">
      <c r="A117" s="117">
        <v>1</v>
      </c>
    </row>
    <row r="118" spans="1:1">
      <c r="A118" s="114"/>
    </row>
    <row r="119" spans="1:1" ht="15.75" thickBot="1">
      <c r="A119" s="116">
        <v>10</v>
      </c>
    </row>
  </sheetData>
  <mergeCells count="1"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zoomScaleNormal="100" workbookViewId="0">
      <selection activeCell="E9" sqref="E9"/>
    </sheetView>
  </sheetViews>
  <sheetFormatPr defaultRowHeight="12.75"/>
  <cols>
    <col min="1" max="1" width="2.5703125" style="1" customWidth="1"/>
    <col min="2" max="2" width="26.28515625" style="1" customWidth="1"/>
    <col min="3" max="3" width="17.7109375" style="2" bestFit="1" customWidth="1"/>
    <col min="4" max="4" width="7.85546875" style="1" customWidth="1"/>
    <col min="5" max="5" width="23" style="1" bestFit="1" customWidth="1"/>
    <col min="6" max="6" width="22.85546875" style="1" bestFit="1" customWidth="1"/>
    <col min="7" max="7" width="8" style="1" customWidth="1"/>
    <col min="8" max="8" width="9.140625" style="1"/>
    <col min="9" max="9" width="23" style="1" bestFit="1" customWidth="1"/>
    <col min="10" max="10" width="22.85546875" style="1" bestFit="1" customWidth="1"/>
    <col min="11" max="11" width="8" style="1" customWidth="1"/>
    <col min="12" max="16384" width="9.140625" style="1"/>
  </cols>
  <sheetData>
    <row r="1" spans="1:11" s="15" customFormat="1" ht="15.75">
      <c r="A1" s="23"/>
      <c r="B1" s="235" t="s">
        <v>0</v>
      </c>
      <c r="C1" s="237"/>
      <c r="D1" s="212"/>
      <c r="E1" s="235" t="s">
        <v>10</v>
      </c>
      <c r="F1" s="236"/>
      <c r="G1" s="237"/>
      <c r="H1" s="199"/>
      <c r="I1" s="238" t="s">
        <v>273</v>
      </c>
      <c r="J1" s="236"/>
      <c r="K1" s="237"/>
    </row>
    <row r="2" spans="1:11" s="14" customFormat="1" ht="15" customHeight="1">
      <c r="A2" s="24"/>
      <c r="B2" s="192" t="s">
        <v>103</v>
      </c>
      <c r="C2" s="204" t="s">
        <v>6</v>
      </c>
      <c r="D2" s="213"/>
      <c r="E2" s="192" t="s">
        <v>11</v>
      </c>
      <c r="F2" s="18" t="s">
        <v>24</v>
      </c>
      <c r="G2" s="25" t="s">
        <v>102</v>
      </c>
      <c r="H2" s="200"/>
      <c r="I2" s="193" t="s">
        <v>11</v>
      </c>
      <c r="J2" s="18" t="s">
        <v>24</v>
      </c>
      <c r="K2" s="25" t="s">
        <v>102</v>
      </c>
    </row>
    <row r="3" spans="1:11">
      <c r="A3" s="26"/>
      <c r="B3" s="205" t="s">
        <v>108</v>
      </c>
      <c r="C3" s="29"/>
      <c r="D3" s="214"/>
      <c r="E3" s="132"/>
      <c r="F3" s="19"/>
      <c r="G3" s="27"/>
      <c r="H3" s="201"/>
      <c r="I3" s="194"/>
      <c r="J3" s="19"/>
      <c r="K3" s="27"/>
    </row>
    <row r="4" spans="1:11" ht="25.5">
      <c r="A4" s="26"/>
      <c r="B4" s="226" t="s">
        <v>303</v>
      </c>
      <c r="C4" s="29">
        <v>412805.99</v>
      </c>
      <c r="D4" s="214"/>
      <c r="E4" s="216">
        <f>'BOM Analysis'!G4</f>
        <v>382655.89</v>
      </c>
      <c r="F4" s="20"/>
      <c r="G4" s="27"/>
      <c r="H4" s="201"/>
      <c r="I4" s="195"/>
      <c r="J4" s="20"/>
      <c r="K4" s="27"/>
    </row>
    <row r="5" spans="1:11">
      <c r="A5" s="26"/>
      <c r="B5" s="226"/>
      <c r="C5" s="29"/>
      <c r="D5" s="214"/>
      <c r="E5" s="217"/>
      <c r="F5" s="20"/>
      <c r="G5" s="27"/>
      <c r="H5" s="201"/>
      <c r="I5" s="196"/>
      <c r="J5" s="20"/>
      <c r="K5" s="27"/>
    </row>
    <row r="6" spans="1:11">
      <c r="A6" s="26"/>
      <c r="B6" s="226" t="s">
        <v>304</v>
      </c>
      <c r="C6" s="29">
        <f>C4*0.05</f>
        <v>20640.299500000001</v>
      </c>
      <c r="D6" s="214"/>
      <c r="E6" s="216">
        <f>E4*G6</f>
        <v>17219.515050000002</v>
      </c>
      <c r="F6" s="20" t="s">
        <v>106</v>
      </c>
      <c r="G6" s="28">
        <v>4.4999999999999998E-2</v>
      </c>
      <c r="H6" s="201"/>
      <c r="I6" s="195">
        <f>I4*K6</f>
        <v>0</v>
      </c>
      <c r="J6" s="20" t="s">
        <v>106</v>
      </c>
      <c r="K6" s="28"/>
    </row>
    <row r="7" spans="1:11">
      <c r="A7" s="26"/>
      <c r="B7" s="226"/>
      <c r="C7" s="29"/>
      <c r="D7" s="214"/>
      <c r="E7" s="217"/>
      <c r="F7" s="20"/>
      <c r="G7" s="27"/>
      <c r="H7" s="201"/>
      <c r="I7" s="196"/>
      <c r="J7" s="20"/>
      <c r="K7" s="27"/>
    </row>
    <row r="8" spans="1:11">
      <c r="A8" s="26"/>
      <c r="B8" s="226" t="s">
        <v>1</v>
      </c>
      <c r="C8" s="29">
        <v>643834.38</v>
      </c>
      <c r="D8" s="214"/>
      <c r="E8" s="217">
        <f>Subcontracts!B15</f>
        <v>643834.37976000004</v>
      </c>
      <c r="F8" s="20"/>
      <c r="G8" s="29"/>
      <c r="H8" s="201"/>
      <c r="I8" s="196"/>
      <c r="J8" s="20"/>
      <c r="K8" s="29"/>
    </row>
    <row r="9" spans="1:11">
      <c r="A9" s="26"/>
      <c r="B9" s="206"/>
      <c r="C9" s="29"/>
      <c r="D9" s="214"/>
      <c r="E9" s="217"/>
      <c r="F9" s="21"/>
      <c r="G9" s="29"/>
      <c r="H9" s="201"/>
      <c r="I9" s="196"/>
      <c r="J9" s="21"/>
      <c r="K9" s="29"/>
    </row>
    <row r="10" spans="1:11">
      <c r="A10" s="26"/>
      <c r="B10" s="207" t="s">
        <v>7</v>
      </c>
      <c r="C10" s="29">
        <f>SUM(C4:C8)</f>
        <v>1077280.6695000001</v>
      </c>
      <c r="D10" s="214"/>
      <c r="E10" s="216">
        <f>SUM(E4:E8)</f>
        <v>1043709.7848100001</v>
      </c>
      <c r="F10" s="22"/>
      <c r="G10" s="27"/>
      <c r="H10" s="201"/>
      <c r="I10" s="195">
        <f>SUM(I4:I8)</f>
        <v>0</v>
      </c>
      <c r="J10" s="22"/>
      <c r="K10" s="27"/>
    </row>
    <row r="11" spans="1:11">
      <c r="A11" s="26"/>
      <c r="B11" s="206"/>
      <c r="C11" s="29"/>
      <c r="D11" s="214"/>
      <c r="E11" s="217"/>
      <c r="F11" s="21"/>
      <c r="G11" s="27"/>
      <c r="H11" s="201"/>
      <c r="I11" s="196"/>
      <c r="J11" s="21"/>
      <c r="K11" s="27"/>
    </row>
    <row r="12" spans="1:11">
      <c r="A12" s="26"/>
      <c r="B12" s="207" t="s">
        <v>288</v>
      </c>
      <c r="C12" s="29">
        <v>144000</v>
      </c>
      <c r="D12" s="214"/>
      <c r="E12" s="216">
        <f>'Direct Labor'!B6</f>
        <v>143000</v>
      </c>
      <c r="F12" s="20"/>
      <c r="G12" s="29"/>
      <c r="H12" s="202"/>
      <c r="I12" s="195"/>
      <c r="J12" s="20"/>
      <c r="K12" s="29"/>
    </row>
    <row r="13" spans="1:11">
      <c r="A13" s="26"/>
      <c r="B13" s="207"/>
      <c r="C13" s="29"/>
      <c r="D13" s="214"/>
      <c r="E13" s="217"/>
      <c r="F13" s="19"/>
      <c r="G13" s="29"/>
      <c r="H13" s="201"/>
      <c r="I13" s="196"/>
      <c r="J13" s="19"/>
      <c r="K13" s="29"/>
    </row>
    <row r="14" spans="1:11">
      <c r="A14" s="26"/>
      <c r="B14" s="207" t="s">
        <v>279</v>
      </c>
      <c r="C14" s="29">
        <f>C12*1.35</f>
        <v>194400</v>
      </c>
      <c r="D14" s="214"/>
      <c r="E14" s="216">
        <f>E12*G14</f>
        <v>193050</v>
      </c>
      <c r="F14" s="20" t="s">
        <v>107</v>
      </c>
      <c r="G14" s="30">
        <v>1.35</v>
      </c>
      <c r="H14" s="201"/>
      <c r="I14" s="195">
        <f>I12*K14</f>
        <v>0</v>
      </c>
      <c r="J14" s="20" t="s">
        <v>107</v>
      </c>
      <c r="K14" s="30"/>
    </row>
    <row r="15" spans="1:11">
      <c r="A15" s="26"/>
      <c r="B15" s="208"/>
      <c r="C15" s="29"/>
      <c r="D15" s="214"/>
      <c r="E15" s="217"/>
      <c r="F15" s="20"/>
      <c r="G15" s="29"/>
      <c r="H15" s="201"/>
      <c r="I15" s="196"/>
      <c r="J15" s="20"/>
      <c r="K15" s="29"/>
    </row>
    <row r="16" spans="1:11">
      <c r="A16" s="26"/>
      <c r="B16" s="207" t="s">
        <v>2</v>
      </c>
      <c r="C16" s="209">
        <v>77665.97</v>
      </c>
      <c r="D16" s="214"/>
      <c r="E16" s="218">
        <f>ODC!D21</f>
        <v>86932.36</v>
      </c>
      <c r="F16" s="20"/>
      <c r="G16" s="29"/>
      <c r="H16" s="201"/>
      <c r="I16" s="197"/>
      <c r="J16" s="20"/>
      <c r="K16" s="29"/>
    </row>
    <row r="17" spans="1:11">
      <c r="A17" s="26"/>
      <c r="B17" s="206"/>
      <c r="C17" s="29"/>
      <c r="D17" s="214"/>
      <c r="E17" s="132"/>
      <c r="F17" s="19"/>
      <c r="G17" s="29"/>
      <c r="H17" s="201"/>
      <c r="I17" s="194"/>
      <c r="J17" s="19"/>
      <c r="K17" s="29"/>
    </row>
    <row r="18" spans="1:11">
      <c r="A18" s="26"/>
      <c r="B18" s="206" t="s">
        <v>3</v>
      </c>
      <c r="C18" s="29">
        <f>SUM(C10:C16)</f>
        <v>1493346.6395</v>
      </c>
      <c r="D18" s="214"/>
      <c r="E18" s="216">
        <f>SUM(E10:E16)</f>
        <v>1466692.1448100002</v>
      </c>
      <c r="F18" s="16"/>
      <c r="G18" s="29"/>
      <c r="H18" s="201"/>
      <c r="I18" s="195">
        <f>SUM(I10:I16)</f>
        <v>0</v>
      </c>
      <c r="J18" s="16"/>
      <c r="K18" s="29"/>
    </row>
    <row r="19" spans="1:11">
      <c r="A19" s="26"/>
      <c r="B19" s="206"/>
      <c r="C19" s="29"/>
      <c r="D19" s="214"/>
      <c r="E19" s="132"/>
      <c r="F19" s="19"/>
      <c r="G19" s="29"/>
      <c r="H19" s="201"/>
      <c r="I19" s="194"/>
      <c r="J19" s="19"/>
      <c r="K19" s="29"/>
    </row>
    <row r="20" spans="1:11">
      <c r="A20" s="26"/>
      <c r="B20" s="206"/>
      <c r="C20" s="29"/>
      <c r="D20" s="214"/>
      <c r="E20" s="132"/>
      <c r="F20" s="20"/>
      <c r="G20" s="29"/>
      <c r="H20" s="201"/>
      <c r="I20" s="194"/>
      <c r="J20" s="20"/>
      <c r="K20" s="29"/>
    </row>
    <row r="21" spans="1:11" ht="25.5">
      <c r="A21" s="26"/>
      <c r="B21" s="207" t="s">
        <v>278</v>
      </c>
      <c r="C21" s="29">
        <f>C18*0.15</f>
        <v>224001.995925</v>
      </c>
      <c r="D21" s="214"/>
      <c r="E21" s="216">
        <f>E18*G21</f>
        <v>163827.53424633751</v>
      </c>
      <c r="F21" s="20" t="s">
        <v>104</v>
      </c>
      <c r="G21" s="31">
        <f>'G&amp;A Regression'!D20</f>
        <v>0.11169865116279069</v>
      </c>
      <c r="H21" s="201"/>
      <c r="I21" s="195">
        <f>I18*K21</f>
        <v>0</v>
      </c>
      <c r="J21" s="20" t="s">
        <v>104</v>
      </c>
      <c r="K21" s="31"/>
    </row>
    <row r="22" spans="1:11">
      <c r="A22" s="26"/>
      <c r="B22" s="207"/>
      <c r="C22" s="29"/>
      <c r="D22" s="214"/>
      <c r="E22" s="132"/>
      <c r="F22" s="19"/>
      <c r="G22" s="29"/>
      <c r="H22" s="201"/>
      <c r="I22" s="194"/>
      <c r="J22" s="19"/>
      <c r="K22" s="29"/>
    </row>
    <row r="23" spans="1:11" ht="25.5">
      <c r="A23" s="26"/>
      <c r="B23" s="207" t="s">
        <v>277</v>
      </c>
      <c r="C23" s="29">
        <f>C18*0.00241</f>
        <v>3598.9654011949997</v>
      </c>
      <c r="D23" s="214"/>
      <c r="E23" s="228">
        <v>0</v>
      </c>
      <c r="F23" s="16"/>
      <c r="G23" s="29"/>
      <c r="H23" s="201"/>
      <c r="I23" s="195"/>
      <c r="J23" s="16"/>
      <c r="K23" s="29"/>
    </row>
    <row r="24" spans="1:11">
      <c r="A24" s="26"/>
      <c r="B24" s="207"/>
      <c r="C24" s="29"/>
      <c r="D24" s="214"/>
      <c r="E24" s="132"/>
      <c r="F24" s="19"/>
      <c r="G24" s="29"/>
      <c r="H24" s="201"/>
      <c r="I24" s="194"/>
      <c r="J24" s="19"/>
      <c r="K24" s="29"/>
    </row>
    <row r="25" spans="1:11">
      <c r="A25" s="26"/>
      <c r="B25" s="207" t="s">
        <v>8</v>
      </c>
      <c r="C25" s="29">
        <f>(C18+C21+C23)*0.1</f>
        <v>172094.7600826195</v>
      </c>
      <c r="D25" s="214"/>
      <c r="E25" s="217">
        <f>(E18+E21)*G25</f>
        <v>154899.10875676695</v>
      </c>
      <c r="F25" s="20" t="s">
        <v>105</v>
      </c>
      <c r="G25" s="227">
        <f>Profit!K39</f>
        <v>9.4999840079461481E-2</v>
      </c>
      <c r="H25" s="201"/>
      <c r="I25" s="196">
        <f>SUM(I18:I23)*K25</f>
        <v>0</v>
      </c>
      <c r="J25" s="20" t="s">
        <v>105</v>
      </c>
      <c r="K25" s="32"/>
    </row>
    <row r="26" spans="1:11">
      <c r="A26" s="26"/>
      <c r="B26" s="206"/>
      <c r="C26" s="29"/>
      <c r="D26" s="214"/>
      <c r="E26" s="132"/>
      <c r="F26" s="20"/>
      <c r="G26" s="29"/>
      <c r="H26" s="201"/>
      <c r="I26" s="194"/>
      <c r="J26" s="20"/>
      <c r="K26" s="29"/>
    </row>
    <row r="27" spans="1:11">
      <c r="A27" s="26"/>
      <c r="B27" s="207" t="s">
        <v>4</v>
      </c>
      <c r="C27" s="29">
        <f>SUM(C18:C26)</f>
        <v>1893042.3609088145</v>
      </c>
      <c r="D27" s="214"/>
      <c r="E27" s="216">
        <f>SUM(E18:E26)</f>
        <v>1785418.7878131047</v>
      </c>
      <c r="F27" s="22"/>
      <c r="G27" s="29"/>
      <c r="H27" s="201"/>
      <c r="I27" s="195">
        <f>SUM(I18:I26)</f>
        <v>0</v>
      </c>
      <c r="J27" s="22"/>
      <c r="K27" s="29"/>
    </row>
    <row r="28" spans="1:11">
      <c r="A28" s="26"/>
      <c r="B28" s="206"/>
      <c r="C28" s="29"/>
      <c r="D28" s="214"/>
      <c r="E28" s="132"/>
      <c r="F28" s="20"/>
      <c r="G28" s="29"/>
      <c r="H28" s="201"/>
      <c r="I28" s="194"/>
      <c r="J28" s="20"/>
      <c r="K28" s="29"/>
    </row>
    <row r="29" spans="1:11">
      <c r="A29" s="26"/>
      <c r="B29" s="207" t="s">
        <v>9</v>
      </c>
      <c r="C29" s="29">
        <f>C27*0.025</f>
        <v>47326.059022720365</v>
      </c>
      <c r="D29" s="214"/>
      <c r="E29" s="217">
        <f>E27*G29</f>
        <v>26781.28181719657</v>
      </c>
      <c r="F29" s="22" t="s">
        <v>101</v>
      </c>
      <c r="G29" s="31">
        <v>1.4999999999999999E-2</v>
      </c>
      <c r="H29" s="201"/>
      <c r="I29" s="196">
        <f>I27*K29</f>
        <v>0</v>
      </c>
      <c r="J29" s="22" t="s">
        <v>101</v>
      </c>
      <c r="K29" s="31"/>
    </row>
    <row r="30" spans="1:11">
      <c r="A30" s="26"/>
      <c r="B30" s="206"/>
      <c r="C30" s="29"/>
      <c r="D30" s="214"/>
      <c r="E30" s="132"/>
      <c r="F30" s="20"/>
      <c r="G30" s="27"/>
      <c r="H30" s="202"/>
      <c r="I30" s="194"/>
      <c r="J30" s="20"/>
      <c r="K30" s="27"/>
    </row>
    <row r="31" spans="1:11" ht="30.75" thickBot="1">
      <c r="A31" s="33"/>
      <c r="B31" s="210" t="s">
        <v>5</v>
      </c>
      <c r="C31" s="211">
        <f>SUM(C27:C30)</f>
        <v>1940368.4199315349</v>
      </c>
      <c r="D31" s="215"/>
      <c r="E31" s="219">
        <f>SUM(E27:E30)</f>
        <v>1812200.0696303013</v>
      </c>
      <c r="F31" s="34"/>
      <c r="G31" s="35"/>
      <c r="H31" s="203"/>
      <c r="I31" s="198">
        <f>SUM(I27:I30)</f>
        <v>0</v>
      </c>
      <c r="J31" s="34"/>
      <c r="K31" s="35"/>
    </row>
    <row r="32" spans="1:11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B74" s="4"/>
    </row>
    <row r="75" spans="1:2">
      <c r="B75" s="4"/>
    </row>
    <row r="76" spans="1:2">
      <c r="B76" s="4"/>
    </row>
    <row r="77" spans="1:2">
      <c r="B77" s="4"/>
    </row>
    <row r="78" spans="1:2">
      <c r="B78" s="4"/>
    </row>
    <row r="79" spans="1:2">
      <c r="B79" s="4"/>
    </row>
    <row r="80" spans="1:2">
      <c r="B80" s="4"/>
    </row>
  </sheetData>
  <mergeCells count="3">
    <mergeCell ref="E1:G1"/>
    <mergeCell ref="B1:C1"/>
    <mergeCell ref="I1:K1"/>
  </mergeCells>
  <printOptions horizontalCentered="1" verticalCentered="1"/>
  <pageMargins left="0.24" right="0.24" top="0.48" bottom="0.28999999999999998" header="0.3" footer="0.21"/>
  <pageSetup scale="70" orientation="landscape" cellComments="atEnd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F2" sqref="F2"/>
    </sheetView>
  </sheetViews>
  <sheetFormatPr defaultRowHeight="15"/>
  <cols>
    <col min="1" max="1" width="20.85546875" bestFit="1" customWidth="1"/>
    <col min="2" max="2" width="7.85546875" customWidth="1"/>
    <col min="3" max="4" width="11.140625" bestFit="1" customWidth="1"/>
    <col min="6" max="6" width="25.7109375" bestFit="1" customWidth="1"/>
    <col min="7" max="7" width="12" bestFit="1" customWidth="1"/>
  </cols>
  <sheetData>
    <row r="1" spans="1:7" ht="15.75" thickBot="1">
      <c r="A1" s="137" t="s">
        <v>28</v>
      </c>
      <c r="B1" s="230"/>
      <c r="C1" s="138" t="s">
        <v>29</v>
      </c>
    </row>
    <row r="2" spans="1:7">
      <c r="A2" s="135" t="s">
        <v>30</v>
      </c>
      <c r="B2" s="135"/>
      <c r="C2" s="136">
        <v>48936.65</v>
      </c>
      <c r="F2" s="130" t="s">
        <v>25</v>
      </c>
      <c r="G2" s="131">
        <v>150071.19</v>
      </c>
    </row>
    <row r="3" spans="1:7">
      <c r="A3" s="128" t="s">
        <v>31</v>
      </c>
      <c r="B3" s="128"/>
      <c r="C3" s="129">
        <v>7004.41</v>
      </c>
      <c r="F3" s="132" t="s">
        <v>26</v>
      </c>
      <c r="G3" s="29">
        <v>232584.7</v>
      </c>
    </row>
    <row r="4" spans="1:7" ht="15.75" thickBot="1">
      <c r="A4" s="128" t="s">
        <v>32</v>
      </c>
      <c r="B4" s="128"/>
      <c r="C4" s="129">
        <v>5365.7</v>
      </c>
      <c r="F4" s="133" t="s">
        <v>27</v>
      </c>
      <c r="G4" s="134">
        <f>SUM(G2:G3)</f>
        <v>382655.89</v>
      </c>
    </row>
    <row r="5" spans="1:7">
      <c r="A5" s="128" t="s">
        <v>33</v>
      </c>
      <c r="B5" s="128"/>
      <c r="C5" s="129">
        <v>286</v>
      </c>
    </row>
    <row r="6" spans="1:7" ht="15.75" thickBot="1">
      <c r="A6" s="128" t="s">
        <v>34</v>
      </c>
      <c r="B6" s="128"/>
      <c r="C6" s="129">
        <v>85.35</v>
      </c>
      <c r="F6" s="132" t="s">
        <v>309</v>
      </c>
      <c r="G6" s="134">
        <v>12766.3</v>
      </c>
    </row>
    <row r="7" spans="1:7">
      <c r="A7" s="128" t="s">
        <v>35</v>
      </c>
      <c r="B7" s="128"/>
      <c r="C7" s="129">
        <v>797.72</v>
      </c>
    </row>
    <row r="8" spans="1:7">
      <c r="A8" s="128" t="s">
        <v>36</v>
      </c>
      <c r="B8" s="128"/>
      <c r="C8" s="129">
        <v>385.62</v>
      </c>
    </row>
    <row r="9" spans="1:7">
      <c r="A9" s="128" t="s">
        <v>37</v>
      </c>
      <c r="B9" s="128"/>
      <c r="C9" s="129">
        <v>70472.25</v>
      </c>
    </row>
    <row r="10" spans="1:7">
      <c r="A10" s="128" t="s">
        <v>38</v>
      </c>
      <c r="B10" s="128"/>
      <c r="C10" s="129">
        <v>257.45999999999998</v>
      </c>
    </row>
    <row r="11" spans="1:7">
      <c r="A11" s="128" t="s">
        <v>39</v>
      </c>
      <c r="B11" s="128"/>
      <c r="C11" s="129">
        <v>51050.9</v>
      </c>
    </row>
    <row r="12" spans="1:7">
      <c r="A12" s="128" t="s">
        <v>40</v>
      </c>
      <c r="B12" s="128"/>
      <c r="C12" s="129">
        <v>273.60000000000002</v>
      </c>
    </row>
    <row r="13" spans="1:7">
      <c r="A13" s="128" t="s">
        <v>41</v>
      </c>
      <c r="B13" s="128"/>
      <c r="C13" s="129">
        <v>2294.66</v>
      </c>
    </row>
    <row r="14" spans="1:7">
      <c r="A14" s="128" t="s">
        <v>42</v>
      </c>
      <c r="B14" s="128"/>
      <c r="C14" s="129">
        <v>34012.949999999997</v>
      </c>
    </row>
    <row r="15" spans="1:7">
      <c r="A15" s="128" t="s">
        <v>43</v>
      </c>
      <c r="B15" s="128"/>
      <c r="C15" s="129">
        <v>10339.82</v>
      </c>
    </row>
    <row r="16" spans="1:7">
      <c r="A16" s="128" t="s">
        <v>44</v>
      </c>
      <c r="B16" s="128"/>
      <c r="C16" s="129">
        <v>20930.77</v>
      </c>
    </row>
    <row r="17" spans="1:3">
      <c r="A17" s="128" t="s">
        <v>45</v>
      </c>
      <c r="B17" s="128"/>
      <c r="C17" s="129">
        <v>5265.11</v>
      </c>
    </row>
    <row r="18" spans="1:3">
      <c r="A18" s="128" t="s">
        <v>46</v>
      </c>
      <c r="B18" s="128"/>
      <c r="C18" s="129">
        <v>9761.3700000000008</v>
      </c>
    </row>
    <row r="19" spans="1:3">
      <c r="A19" s="128" t="s">
        <v>47</v>
      </c>
      <c r="B19" s="128"/>
      <c r="C19" s="129">
        <v>26542.1</v>
      </c>
    </row>
    <row r="20" spans="1:3">
      <c r="A20" s="128" t="s">
        <v>48</v>
      </c>
      <c r="B20" s="128"/>
      <c r="C20" s="129">
        <v>780</v>
      </c>
    </row>
    <row r="21" spans="1:3">
      <c r="A21" s="128" t="s">
        <v>49</v>
      </c>
      <c r="B21" s="128"/>
      <c r="C21" s="129">
        <v>2621.77</v>
      </c>
    </row>
    <row r="22" spans="1:3">
      <c r="A22" s="128" t="s">
        <v>50</v>
      </c>
      <c r="B22" s="128"/>
      <c r="C22" s="129">
        <v>4576.1000000000004</v>
      </c>
    </row>
    <row r="23" spans="1:3">
      <c r="A23" s="128" t="s">
        <v>51</v>
      </c>
      <c r="B23" s="128"/>
      <c r="C23" s="129">
        <v>188.35</v>
      </c>
    </row>
    <row r="24" spans="1:3">
      <c r="A24" s="128" t="s">
        <v>52</v>
      </c>
      <c r="B24" s="128"/>
      <c r="C24" s="129">
        <v>1581.07</v>
      </c>
    </row>
    <row r="25" spans="1:3">
      <c r="A25" s="128" t="s">
        <v>53</v>
      </c>
      <c r="B25" s="128"/>
      <c r="C25" s="129">
        <v>653.29</v>
      </c>
    </row>
    <row r="26" spans="1:3">
      <c r="A26" s="128" t="s">
        <v>54</v>
      </c>
      <c r="B26" s="128"/>
      <c r="C26" s="129">
        <v>427.75</v>
      </c>
    </row>
    <row r="27" spans="1:3">
      <c r="A27" s="128" t="s">
        <v>55</v>
      </c>
      <c r="B27" s="128"/>
      <c r="C27" s="129">
        <v>6650</v>
      </c>
    </row>
    <row r="28" spans="1:3">
      <c r="A28" s="128" t="s">
        <v>56</v>
      </c>
      <c r="B28" s="128"/>
      <c r="C28" s="129">
        <v>275</v>
      </c>
    </row>
    <row r="29" spans="1:3">
      <c r="A29" s="128" t="s">
        <v>57</v>
      </c>
      <c r="B29" s="128"/>
      <c r="C29" s="129">
        <v>5015</v>
      </c>
    </row>
    <row r="30" spans="1:3">
      <c r="A30" s="128" t="s">
        <v>58</v>
      </c>
      <c r="B30" s="128"/>
      <c r="C30" s="129">
        <v>458.85</v>
      </c>
    </row>
    <row r="31" spans="1:3">
      <c r="A31" s="128" t="s">
        <v>59</v>
      </c>
      <c r="B31" s="128"/>
      <c r="C31" s="129">
        <v>26528</v>
      </c>
    </row>
    <row r="32" spans="1:3">
      <c r="A32" s="128" t="s">
        <v>60</v>
      </c>
      <c r="B32" s="128"/>
      <c r="C32" s="129">
        <v>3839.23</v>
      </c>
    </row>
    <row r="33" spans="1:3">
      <c r="A33" s="128" t="s">
        <v>61</v>
      </c>
      <c r="B33" s="128"/>
      <c r="C33" s="129">
        <v>1087</v>
      </c>
    </row>
    <row r="34" spans="1:3">
      <c r="A34" s="128" t="s">
        <v>62</v>
      </c>
      <c r="B34" s="128"/>
      <c r="C34" s="129">
        <v>925</v>
      </c>
    </row>
    <row r="35" spans="1:3">
      <c r="A35" s="128" t="s">
        <v>63</v>
      </c>
      <c r="B35" s="128"/>
      <c r="C35" s="129">
        <v>835.32</v>
      </c>
    </row>
    <row r="36" spans="1:3">
      <c r="A36" s="128" t="s">
        <v>64</v>
      </c>
      <c r="B36" s="128"/>
      <c r="C36" s="129">
        <v>38750</v>
      </c>
    </row>
    <row r="37" spans="1:3">
      <c r="A37" s="128" t="s">
        <v>65</v>
      </c>
      <c r="B37" s="128"/>
      <c r="C37" s="129">
        <v>3583.93</v>
      </c>
    </row>
    <row r="38" spans="1:3">
      <c r="A38" s="128" t="s">
        <v>66</v>
      </c>
      <c r="B38" s="128"/>
      <c r="C38" s="129">
        <v>16.5</v>
      </c>
    </row>
    <row r="39" spans="1:3">
      <c r="A39" s="128" t="s">
        <v>67</v>
      </c>
      <c r="B39" s="128"/>
      <c r="C39" s="129">
        <v>6480</v>
      </c>
    </row>
    <row r="40" spans="1:3">
      <c r="A40" s="128" t="s">
        <v>68</v>
      </c>
      <c r="B40" s="128"/>
      <c r="C40" s="129">
        <v>705</v>
      </c>
    </row>
    <row r="41" spans="1:3">
      <c r="A41" s="128" t="s">
        <v>69</v>
      </c>
      <c r="B41" s="128"/>
      <c r="C41" s="129">
        <v>12766.39</v>
      </c>
    </row>
    <row r="42" spans="1:3" ht="15.75" thickBot="1">
      <c r="A42" s="139"/>
      <c r="B42" s="139"/>
      <c r="C42" s="140"/>
    </row>
    <row r="43" spans="1:3" ht="15.75" thickBot="1">
      <c r="A43" s="141" t="s">
        <v>19</v>
      </c>
      <c r="B43" s="231"/>
      <c r="C43" s="142">
        <f>SUM(C2:C41)</f>
        <v>412805.98999999993</v>
      </c>
    </row>
  </sheetData>
  <printOptions gridLines="1"/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B38" sqref="B38"/>
    </sheetView>
  </sheetViews>
  <sheetFormatPr defaultRowHeight="12.75"/>
  <cols>
    <col min="1" max="1" width="29" style="1" bestFit="1" customWidth="1"/>
    <col min="2" max="2" width="14.140625" style="1" bestFit="1" customWidth="1"/>
    <col min="3" max="3" width="13.85546875" style="1" bestFit="1" customWidth="1"/>
    <col min="4" max="4" width="14.140625" style="1" bestFit="1" customWidth="1"/>
    <col min="5" max="10" width="9.140625" style="1"/>
    <col min="11" max="11" width="10.42578125" style="1" bestFit="1" customWidth="1"/>
    <col min="12" max="16384" width="9.140625" style="1"/>
  </cols>
  <sheetData>
    <row r="1" spans="1:11">
      <c r="A1" s="147" t="s">
        <v>71</v>
      </c>
      <c r="B1" s="148" t="s">
        <v>29</v>
      </c>
      <c r="C1" s="148" t="s">
        <v>72</v>
      </c>
      <c r="D1" s="149" t="s">
        <v>89</v>
      </c>
    </row>
    <row r="2" spans="1:11">
      <c r="A2" s="150"/>
      <c r="B2" s="143"/>
      <c r="C2" s="143"/>
      <c r="D2" s="151"/>
    </row>
    <row r="3" spans="1:11">
      <c r="A3" s="152" t="s">
        <v>22</v>
      </c>
      <c r="B3" s="145">
        <v>0</v>
      </c>
      <c r="C3" s="146">
        <v>0</v>
      </c>
      <c r="D3" s="153">
        <f>B3-C3</f>
        <v>0</v>
      </c>
    </row>
    <row r="4" spans="1:11">
      <c r="A4" s="152" t="s">
        <v>73</v>
      </c>
      <c r="B4" s="146">
        <v>68940.97</v>
      </c>
      <c r="C4" s="146">
        <v>0</v>
      </c>
      <c r="D4" s="153">
        <f t="shared" ref="D4:D19" si="0">B4-C4</f>
        <v>68940.97</v>
      </c>
    </row>
    <row r="5" spans="1:11">
      <c r="A5" s="152" t="s">
        <v>74</v>
      </c>
      <c r="B5" s="146">
        <v>7225</v>
      </c>
      <c r="C5" s="146">
        <v>2000</v>
      </c>
      <c r="D5" s="153">
        <f t="shared" si="0"/>
        <v>5225</v>
      </c>
    </row>
    <row r="6" spans="1:11">
      <c r="A6" s="152" t="s">
        <v>75</v>
      </c>
      <c r="B6" s="146">
        <v>1500</v>
      </c>
      <c r="C6" s="146">
        <v>1500</v>
      </c>
      <c r="D6" s="153">
        <f t="shared" si="0"/>
        <v>0</v>
      </c>
    </row>
    <row r="7" spans="1:11">
      <c r="A7" s="152" t="s">
        <v>76</v>
      </c>
      <c r="B7" s="146">
        <v>0</v>
      </c>
      <c r="C7" s="146">
        <v>-735.39</v>
      </c>
      <c r="D7" s="153">
        <f t="shared" si="0"/>
        <v>735.39</v>
      </c>
    </row>
    <row r="8" spans="1:11">
      <c r="A8" s="152" t="s">
        <v>77</v>
      </c>
      <c r="B8" s="146">
        <v>0</v>
      </c>
      <c r="C8" s="146">
        <v>-1500</v>
      </c>
      <c r="D8" s="153">
        <f t="shared" si="0"/>
        <v>1500</v>
      </c>
    </row>
    <row r="9" spans="1:11">
      <c r="A9" s="152" t="s">
        <v>78</v>
      </c>
      <c r="B9" s="146">
        <v>0</v>
      </c>
      <c r="C9" s="146">
        <v>-500</v>
      </c>
      <c r="D9" s="153">
        <f t="shared" si="0"/>
        <v>500</v>
      </c>
    </row>
    <row r="10" spans="1:11">
      <c r="A10" s="152" t="s">
        <v>79</v>
      </c>
      <c r="B10" s="146">
        <v>0</v>
      </c>
      <c r="C10" s="146">
        <v>-2400</v>
      </c>
      <c r="D10" s="153">
        <f t="shared" si="0"/>
        <v>2400</v>
      </c>
    </row>
    <row r="11" spans="1:11">
      <c r="A11" s="152" t="s">
        <v>80</v>
      </c>
      <c r="B11" s="146">
        <v>0</v>
      </c>
      <c r="C11" s="146">
        <v>-150</v>
      </c>
      <c r="D11" s="153">
        <f t="shared" si="0"/>
        <v>150</v>
      </c>
    </row>
    <row r="12" spans="1:11">
      <c r="A12" s="152" t="s">
        <v>307</v>
      </c>
      <c r="B12" s="146">
        <v>0</v>
      </c>
      <c r="C12" s="146">
        <v>-1000</v>
      </c>
      <c r="D12" s="153">
        <f t="shared" si="0"/>
        <v>1000</v>
      </c>
    </row>
    <row r="13" spans="1:11">
      <c r="A13" s="152" t="s">
        <v>81</v>
      </c>
      <c r="B13" s="146">
        <v>0</v>
      </c>
      <c r="C13" s="146">
        <v>-1500</v>
      </c>
      <c r="D13" s="153">
        <f t="shared" si="0"/>
        <v>1500</v>
      </c>
    </row>
    <row r="14" spans="1:11">
      <c r="A14" s="152" t="s">
        <v>82</v>
      </c>
      <c r="B14" s="146">
        <v>0</v>
      </c>
      <c r="C14" s="146">
        <v>-500</v>
      </c>
      <c r="D14" s="153">
        <f t="shared" si="0"/>
        <v>500</v>
      </c>
    </row>
    <row r="15" spans="1:11">
      <c r="A15" s="152" t="s">
        <v>83</v>
      </c>
      <c r="B15" s="146">
        <v>0</v>
      </c>
      <c r="C15" s="146">
        <v>-250</v>
      </c>
      <c r="D15" s="153">
        <f t="shared" si="0"/>
        <v>250</v>
      </c>
      <c r="K15" s="191"/>
    </row>
    <row r="16" spans="1:11">
      <c r="A16" s="152" t="s">
        <v>84</v>
      </c>
      <c r="B16" s="146">
        <v>0</v>
      </c>
      <c r="C16" s="146">
        <v>-1125</v>
      </c>
      <c r="D16" s="153">
        <f t="shared" si="0"/>
        <v>1125</v>
      </c>
      <c r="K16" s="191"/>
    </row>
    <row r="17" spans="1:11">
      <c r="A17" s="152" t="s">
        <v>85</v>
      </c>
      <c r="B17" s="146">
        <v>0</v>
      </c>
      <c r="C17" s="146">
        <v>-2700</v>
      </c>
      <c r="D17" s="153">
        <f t="shared" si="0"/>
        <v>2700</v>
      </c>
      <c r="K17" s="191"/>
    </row>
    <row r="18" spans="1:11">
      <c r="A18" s="152" t="s">
        <v>86</v>
      </c>
      <c r="B18" s="146">
        <v>0</v>
      </c>
      <c r="C18" s="146">
        <v>-290</v>
      </c>
      <c r="D18" s="153">
        <f t="shared" si="0"/>
        <v>290</v>
      </c>
    </row>
    <row r="19" spans="1:11">
      <c r="A19" s="152" t="s">
        <v>87</v>
      </c>
      <c r="B19" s="146">
        <v>0</v>
      </c>
      <c r="C19" s="146">
        <v>-116</v>
      </c>
      <c r="D19" s="153">
        <f t="shared" si="0"/>
        <v>116</v>
      </c>
    </row>
    <row r="20" spans="1:11">
      <c r="A20" s="152"/>
      <c r="B20" s="144"/>
      <c r="C20" s="144"/>
      <c r="D20" s="154"/>
    </row>
    <row r="21" spans="1:11" ht="13.5" thickBot="1">
      <c r="A21" s="155" t="s">
        <v>88</v>
      </c>
      <c r="B21" s="156">
        <f>SUM(B3:B20)</f>
        <v>77665.97</v>
      </c>
      <c r="C21" s="156">
        <f>SUM(C3:C19)</f>
        <v>-9266.39</v>
      </c>
      <c r="D21" s="157">
        <f>SUM(D3:D20)</f>
        <v>86932.36</v>
      </c>
    </row>
    <row r="23" spans="1:11">
      <c r="A23" s="229" t="s">
        <v>308</v>
      </c>
    </row>
    <row r="27" spans="1:11">
      <c r="D27" s="191" t="s">
        <v>275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20" sqref="D20"/>
    </sheetView>
  </sheetViews>
  <sheetFormatPr defaultRowHeight="15"/>
  <cols>
    <col min="1" max="1" width="21.140625" bestFit="1" customWidth="1"/>
    <col min="2" max="3" width="15.5703125" bestFit="1" customWidth="1"/>
    <col min="4" max="4" width="18.5703125" bestFit="1" customWidth="1"/>
    <col min="5" max="5" width="15.5703125" bestFit="1" customWidth="1"/>
    <col min="6" max="6" width="16" bestFit="1" customWidth="1"/>
  </cols>
  <sheetData>
    <row r="1" spans="1:6" ht="15.75" thickBot="1"/>
    <row r="2" spans="1:6" ht="32.25" thickBot="1">
      <c r="A2" s="5" t="s">
        <v>97</v>
      </c>
      <c r="B2" s="6" t="s">
        <v>90</v>
      </c>
      <c r="C2" s="6" t="s">
        <v>91</v>
      </c>
      <c r="D2" s="6" t="s">
        <v>92</v>
      </c>
      <c r="E2" s="6" t="s">
        <v>93</v>
      </c>
      <c r="F2" s="6" t="s">
        <v>19</v>
      </c>
    </row>
    <row r="3" spans="1:6" ht="15.75" thickBot="1">
      <c r="A3" s="7"/>
      <c r="B3" s="8"/>
      <c r="C3" s="8"/>
      <c r="D3" s="8"/>
      <c r="E3" s="8"/>
      <c r="F3" s="8"/>
    </row>
    <row r="4" spans="1:6" ht="15.75" thickBot="1">
      <c r="A4" s="7" t="s">
        <v>29</v>
      </c>
      <c r="B4" s="9">
        <v>7083458</v>
      </c>
      <c r="C4" s="9">
        <v>7189720</v>
      </c>
      <c r="D4" s="9">
        <v>7080977</v>
      </c>
      <c r="E4" s="9">
        <v>7266744</v>
      </c>
      <c r="F4" s="9">
        <v>21354155</v>
      </c>
    </row>
    <row r="5" spans="1:6" ht="15.75" thickBot="1">
      <c r="A5" s="7" t="s">
        <v>94</v>
      </c>
      <c r="B5" s="9">
        <v>6991373</v>
      </c>
      <c r="C5" s="9">
        <v>7101286</v>
      </c>
      <c r="D5" s="9">
        <v>6974762</v>
      </c>
      <c r="E5" s="9">
        <v>7169370</v>
      </c>
      <c r="F5" s="9">
        <v>21067422</v>
      </c>
    </row>
    <row r="6" spans="1:6" ht="15.75" thickBot="1">
      <c r="A6" s="7" t="s">
        <v>89</v>
      </c>
      <c r="B6" s="9">
        <f>B4-B5</f>
        <v>92085</v>
      </c>
      <c r="C6" s="9">
        <f>C4-C5</f>
        <v>88434</v>
      </c>
      <c r="D6" s="9">
        <f>D4-D5</f>
        <v>106215</v>
      </c>
      <c r="E6" s="9">
        <f>E4-E5</f>
        <v>97374</v>
      </c>
      <c r="F6" s="9">
        <f>F4-F5</f>
        <v>286733</v>
      </c>
    </row>
    <row r="7" spans="1:6" ht="15.75" thickBot="1">
      <c r="A7" s="7" t="s">
        <v>95</v>
      </c>
      <c r="B7" s="10">
        <v>1.2999999999999999E-2</v>
      </c>
      <c r="C7" s="10">
        <v>1.23E-2</v>
      </c>
      <c r="D7" s="10">
        <v>1.4999999999999999E-2</v>
      </c>
      <c r="E7" s="10">
        <v>1.35E-2</v>
      </c>
      <c r="F7" s="11">
        <v>0.01</v>
      </c>
    </row>
    <row r="9" spans="1:6" ht="15.75" thickBot="1"/>
    <row r="10" spans="1:6" ht="16.5" thickBot="1">
      <c r="A10" s="5" t="s">
        <v>96</v>
      </c>
      <c r="B10" s="6" t="s">
        <v>90</v>
      </c>
      <c r="C10" s="6" t="s">
        <v>91</v>
      </c>
      <c r="D10" s="6" t="s">
        <v>92</v>
      </c>
      <c r="E10" s="6" t="s">
        <v>93</v>
      </c>
      <c r="F10" s="6" t="s">
        <v>19</v>
      </c>
    </row>
    <row r="11" spans="1:6" ht="15.75" thickBot="1">
      <c r="A11" s="7"/>
      <c r="B11" s="8"/>
      <c r="C11" s="8"/>
      <c r="D11" s="8"/>
      <c r="E11" s="8"/>
      <c r="F11" s="8"/>
    </row>
    <row r="12" spans="1:6" ht="15.75" thickBot="1">
      <c r="A12" s="7" t="s">
        <v>29</v>
      </c>
      <c r="B12" s="9">
        <v>47045757</v>
      </c>
      <c r="C12" s="9">
        <v>47986672</v>
      </c>
      <c r="D12" s="9">
        <v>47506806</v>
      </c>
      <c r="E12" s="9">
        <v>51234321</v>
      </c>
      <c r="F12" s="9">
        <v>142539235</v>
      </c>
    </row>
    <row r="13" spans="1:6" ht="15.75" thickBot="1">
      <c r="A13" s="7" t="s">
        <v>94</v>
      </c>
      <c r="B13" s="9">
        <v>58774662</v>
      </c>
      <c r="C13" s="9">
        <v>61233242</v>
      </c>
      <c r="D13" s="9">
        <v>57466284</v>
      </c>
      <c r="E13" s="9">
        <v>63511772</v>
      </c>
      <c r="F13" s="9">
        <v>177474188</v>
      </c>
    </row>
    <row r="14" spans="1:6" ht="15.75" thickBot="1">
      <c r="A14" s="7" t="s">
        <v>89</v>
      </c>
      <c r="B14" s="9">
        <f>B12-B13</f>
        <v>-11728905</v>
      </c>
      <c r="C14" s="9">
        <f>C12-C13</f>
        <v>-13246570</v>
      </c>
      <c r="D14" s="9">
        <f>D12-D13</f>
        <v>-9959478</v>
      </c>
      <c r="E14" s="9">
        <f>E12-E13</f>
        <v>-12277451</v>
      </c>
      <c r="F14" s="9">
        <f>F12-F13</f>
        <v>-34934953</v>
      </c>
    </row>
    <row r="15" spans="1:6" ht="15.75" thickBot="1">
      <c r="A15" s="7" t="s">
        <v>95</v>
      </c>
      <c r="B15" s="10">
        <v>-0.24929999999999999</v>
      </c>
      <c r="C15" s="10">
        <v>-0.27610000000000001</v>
      </c>
      <c r="D15" s="10">
        <v>-0.20960000000000001</v>
      </c>
      <c r="E15" s="10">
        <v>-0.23960000000000001</v>
      </c>
      <c r="F15" s="10">
        <v>-0.24510000000000001</v>
      </c>
    </row>
    <row r="17" spans="1:4">
      <c r="A17" s="239" t="s">
        <v>99</v>
      </c>
      <c r="B17" s="239"/>
      <c r="C17" s="239"/>
      <c r="D17" s="12">
        <v>64500000</v>
      </c>
    </row>
    <row r="18" spans="1:4">
      <c r="A18" s="239" t="s">
        <v>98</v>
      </c>
      <c r="B18" s="239"/>
      <c r="C18" s="239"/>
      <c r="D18" s="12">
        <v>7204563</v>
      </c>
    </row>
    <row r="20" spans="1:4">
      <c r="C20" s="158" t="s">
        <v>100</v>
      </c>
      <c r="D20" s="159">
        <f>D18/D17</f>
        <v>0.11169865116279069</v>
      </c>
    </row>
  </sheetData>
  <dataConsolidate/>
  <mergeCells count="2">
    <mergeCell ref="A18:C18"/>
    <mergeCell ref="A17:C17"/>
  </mergeCell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M17" sqref="M17:N17"/>
    </sheetView>
  </sheetViews>
  <sheetFormatPr defaultRowHeight="15"/>
  <cols>
    <col min="6" max="6" width="16" bestFit="1" customWidth="1"/>
  </cols>
  <sheetData>
    <row r="1" spans="2:17" ht="15.75">
      <c r="B1" s="89" t="s">
        <v>119</v>
      </c>
      <c r="C1" s="89"/>
      <c r="D1" s="38"/>
      <c r="E1" s="38"/>
      <c r="F1" s="90"/>
    </row>
    <row r="2" spans="2:17" ht="15.75" thickBot="1"/>
    <row r="3" spans="2:17">
      <c r="B3" s="240" t="s">
        <v>120</v>
      </c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46" t="s">
        <v>121</v>
      </c>
      <c r="N3" s="247"/>
    </row>
    <row r="4" spans="2:17">
      <c r="B4" s="243"/>
      <c r="C4" s="244"/>
      <c r="D4" s="244"/>
      <c r="E4" s="244"/>
      <c r="F4" s="244"/>
      <c r="G4" s="244"/>
      <c r="H4" s="244"/>
      <c r="I4" s="244"/>
      <c r="J4" s="244"/>
      <c r="K4" s="244"/>
      <c r="L4" s="245"/>
      <c r="M4" s="248" t="s">
        <v>122</v>
      </c>
      <c r="N4" s="249"/>
    </row>
    <row r="5" spans="2:17">
      <c r="B5" s="250" t="s">
        <v>123</v>
      </c>
      <c r="C5" s="251"/>
      <c r="D5" s="256" t="s">
        <v>124</v>
      </c>
      <c r="E5" s="257"/>
      <c r="F5" s="257"/>
      <c r="G5" s="257"/>
      <c r="H5" s="257"/>
      <c r="I5" s="257"/>
      <c r="J5" s="258"/>
      <c r="K5" s="259" t="s">
        <v>125</v>
      </c>
      <c r="L5" s="260"/>
      <c r="M5" s="265" t="s">
        <v>126</v>
      </c>
      <c r="N5" s="266"/>
    </row>
    <row r="6" spans="2:17" ht="18">
      <c r="B6" s="252"/>
      <c r="C6" s="253"/>
      <c r="D6" s="267" t="s">
        <v>127</v>
      </c>
      <c r="E6" s="268"/>
      <c r="F6" s="39" t="s">
        <v>128</v>
      </c>
      <c r="G6" s="267" t="s">
        <v>129</v>
      </c>
      <c r="H6" s="269"/>
      <c r="I6" s="268"/>
      <c r="J6" s="40" t="s">
        <v>130</v>
      </c>
      <c r="K6" s="261"/>
      <c r="L6" s="262"/>
      <c r="M6" s="39" t="s">
        <v>131</v>
      </c>
      <c r="N6" s="41" t="s">
        <v>132</v>
      </c>
    </row>
    <row r="7" spans="2:17">
      <c r="B7" s="254"/>
      <c r="C7" s="255"/>
      <c r="D7" s="270"/>
      <c r="E7" s="271"/>
      <c r="F7" s="42"/>
      <c r="G7" s="270"/>
      <c r="H7" s="272"/>
      <c r="I7" s="271"/>
      <c r="J7" s="42"/>
      <c r="K7" s="263"/>
      <c r="L7" s="264"/>
      <c r="M7" s="43"/>
      <c r="N7" s="44"/>
    </row>
    <row r="8" spans="2:17">
      <c r="B8" s="273" t="s">
        <v>133</v>
      </c>
      <c r="C8" s="274"/>
      <c r="D8" s="274"/>
      <c r="E8" s="274"/>
      <c r="F8" s="274"/>
      <c r="G8" s="274"/>
      <c r="H8" s="275"/>
      <c r="I8" s="279" t="s">
        <v>134</v>
      </c>
      <c r="J8" s="281" t="s">
        <v>135</v>
      </c>
      <c r="K8" s="282"/>
      <c r="L8" s="283"/>
      <c r="M8" s="281" t="s">
        <v>136</v>
      </c>
      <c r="N8" s="287"/>
    </row>
    <row r="9" spans="2:17">
      <c r="B9" s="276"/>
      <c r="C9" s="277"/>
      <c r="D9" s="277"/>
      <c r="E9" s="277"/>
      <c r="F9" s="277"/>
      <c r="G9" s="277"/>
      <c r="H9" s="278"/>
      <c r="I9" s="280"/>
      <c r="J9" s="284"/>
      <c r="K9" s="285"/>
      <c r="L9" s="286"/>
      <c r="M9" s="284"/>
      <c r="N9" s="288"/>
    </row>
    <row r="10" spans="2:17">
      <c r="B10" s="289" t="s">
        <v>137</v>
      </c>
      <c r="C10" s="290"/>
      <c r="D10" s="290"/>
      <c r="E10" s="290"/>
      <c r="F10" s="290"/>
      <c r="G10" s="290"/>
      <c r="H10" s="291"/>
      <c r="I10" s="45" t="s">
        <v>138</v>
      </c>
      <c r="J10" s="295" t="s">
        <v>139</v>
      </c>
      <c r="K10" s="296"/>
      <c r="L10" s="297"/>
      <c r="M10" s="298">
        <v>399875</v>
      </c>
      <c r="N10" s="299"/>
      <c r="O10" s="91"/>
      <c r="P10" s="92"/>
      <c r="Q10" s="93"/>
    </row>
    <row r="11" spans="2:17">
      <c r="B11" s="292"/>
      <c r="C11" s="293"/>
      <c r="D11" s="293"/>
      <c r="E11" s="293"/>
      <c r="F11" s="293"/>
      <c r="G11" s="293"/>
      <c r="H11" s="294"/>
      <c r="I11" s="45" t="s">
        <v>140</v>
      </c>
      <c r="J11" s="295" t="s">
        <v>141</v>
      </c>
      <c r="K11" s="296"/>
      <c r="L11" s="297"/>
      <c r="M11" s="298">
        <v>643834</v>
      </c>
      <c r="N11" s="299"/>
      <c r="O11" s="93"/>
      <c r="P11" s="93"/>
      <c r="Q11" s="93"/>
    </row>
    <row r="12" spans="2:17">
      <c r="B12" s="289"/>
      <c r="C12" s="290"/>
      <c r="D12" s="290"/>
      <c r="E12" s="291"/>
      <c r="F12" s="304" t="s">
        <v>142</v>
      </c>
      <c r="G12" s="305"/>
      <c r="H12" s="306"/>
      <c r="I12" s="45" t="s">
        <v>143</v>
      </c>
      <c r="J12" s="295" t="s">
        <v>144</v>
      </c>
      <c r="K12" s="296"/>
      <c r="L12" s="297"/>
      <c r="M12" s="298">
        <v>143000</v>
      </c>
      <c r="N12" s="299"/>
      <c r="O12" s="93"/>
      <c r="P12" s="93"/>
      <c r="Q12" s="93"/>
    </row>
    <row r="13" spans="2:17">
      <c r="B13" s="292"/>
      <c r="C13" s="293"/>
      <c r="D13" s="293"/>
      <c r="E13" s="294"/>
      <c r="F13" s="307"/>
      <c r="G13" s="308"/>
      <c r="H13" s="309"/>
      <c r="I13" s="45" t="s">
        <v>145</v>
      </c>
      <c r="J13" s="295" t="s">
        <v>146</v>
      </c>
      <c r="K13" s="296"/>
      <c r="L13" s="297"/>
      <c r="M13" s="298">
        <v>193050</v>
      </c>
      <c r="N13" s="299"/>
      <c r="O13" s="93"/>
      <c r="P13" s="93"/>
      <c r="Q13" s="93"/>
    </row>
    <row r="14" spans="2:17">
      <c r="B14" s="300" t="s">
        <v>147</v>
      </c>
      <c r="C14" s="274"/>
      <c r="D14" s="274"/>
      <c r="E14" s="275"/>
      <c r="F14" s="301" t="s">
        <v>148</v>
      </c>
      <c r="G14" s="274"/>
      <c r="H14" s="275"/>
      <c r="I14" s="45" t="s">
        <v>149</v>
      </c>
      <c r="J14" s="295" t="s">
        <v>150</v>
      </c>
      <c r="K14" s="296"/>
      <c r="L14" s="297"/>
      <c r="M14" s="298">
        <v>86932</v>
      </c>
      <c r="N14" s="299"/>
      <c r="O14" s="93"/>
      <c r="P14" s="93"/>
      <c r="Q14" s="93"/>
    </row>
    <row r="15" spans="2:17">
      <c r="B15" s="276"/>
      <c r="C15" s="277"/>
      <c r="D15" s="277"/>
      <c r="E15" s="278"/>
      <c r="F15" s="46"/>
      <c r="G15" s="47"/>
      <c r="H15" s="118" t="s">
        <v>236</v>
      </c>
      <c r="I15" s="45" t="s">
        <v>151</v>
      </c>
      <c r="J15" s="295" t="s">
        <v>152</v>
      </c>
      <c r="K15" s="296"/>
      <c r="L15" s="297"/>
      <c r="M15" s="302">
        <f>SUM(M10:N14)</f>
        <v>1466691</v>
      </c>
      <c r="N15" s="303"/>
      <c r="O15" s="91"/>
      <c r="P15" s="92"/>
      <c r="Q15" s="93"/>
    </row>
    <row r="16" spans="2:17">
      <c r="B16" s="323" t="s">
        <v>153</v>
      </c>
      <c r="C16" s="324"/>
      <c r="D16" s="48"/>
      <c r="E16" s="49"/>
      <c r="F16" s="327" t="s">
        <v>154</v>
      </c>
      <c r="G16" s="328"/>
      <c r="H16" s="329"/>
      <c r="I16" s="45" t="s">
        <v>155</v>
      </c>
      <c r="J16" s="295" t="s">
        <v>156</v>
      </c>
      <c r="K16" s="296"/>
      <c r="L16" s="297"/>
      <c r="M16" s="298">
        <f>'Pre-neg position'!E21</f>
        <v>163827.53424633751</v>
      </c>
      <c r="N16" s="299"/>
      <c r="O16" s="93"/>
      <c r="P16" s="93"/>
      <c r="Q16" s="93"/>
    </row>
    <row r="17" spans="2:20">
      <c r="B17" s="325"/>
      <c r="C17" s="326"/>
      <c r="D17" s="330"/>
      <c r="E17" s="331"/>
      <c r="F17" s="332"/>
      <c r="G17" s="333"/>
      <c r="H17" s="334"/>
      <c r="I17" s="45" t="s">
        <v>157</v>
      </c>
      <c r="J17" s="295" t="s">
        <v>158</v>
      </c>
      <c r="K17" s="296"/>
      <c r="L17" s="297"/>
      <c r="M17" s="302">
        <f>SUM(M15:N16)</f>
        <v>1630518.5342463376</v>
      </c>
      <c r="N17" s="303"/>
      <c r="O17" s="91"/>
      <c r="P17" s="93"/>
      <c r="Q17" s="93"/>
    </row>
    <row r="18" spans="2:20">
      <c r="B18" s="310"/>
      <c r="C18" s="311"/>
      <c r="D18" s="311"/>
      <c r="E18" s="312"/>
      <c r="F18" s="313" t="s">
        <v>159</v>
      </c>
      <c r="G18" s="314"/>
      <c r="H18" s="314"/>
      <c r="I18" s="314"/>
      <c r="J18" s="314"/>
      <c r="K18" s="315"/>
      <c r="L18" s="316"/>
      <c r="M18" s="317"/>
      <c r="N18" s="318"/>
    </row>
    <row r="19" spans="2:20">
      <c r="B19" s="50" t="s">
        <v>134</v>
      </c>
      <c r="C19" s="319" t="s">
        <v>160</v>
      </c>
      <c r="D19" s="320"/>
      <c r="E19" s="320"/>
      <c r="F19" s="321"/>
      <c r="G19" s="319" t="s">
        <v>161</v>
      </c>
      <c r="H19" s="321"/>
      <c r="I19" s="319" t="s">
        <v>162</v>
      </c>
      <c r="J19" s="321"/>
      <c r="K19" s="319" t="s">
        <v>163</v>
      </c>
      <c r="L19" s="321"/>
      <c r="M19" s="319" t="s">
        <v>164</v>
      </c>
      <c r="N19" s="322"/>
    </row>
    <row r="20" spans="2:20">
      <c r="B20" s="51" t="s">
        <v>165</v>
      </c>
      <c r="C20" s="335" t="s">
        <v>166</v>
      </c>
      <c r="D20" s="336"/>
      <c r="E20" s="336"/>
      <c r="F20" s="337"/>
      <c r="G20" s="52"/>
      <c r="H20" s="53">
        <v>0.5</v>
      </c>
      <c r="I20" s="54"/>
      <c r="J20" s="55">
        <v>5</v>
      </c>
      <c r="K20" s="348"/>
      <c r="L20" s="349"/>
      <c r="M20" s="349"/>
      <c r="N20" s="350"/>
      <c r="T20">
        <v>4</v>
      </c>
    </row>
    <row r="21" spans="2:20">
      <c r="B21" s="51" t="s">
        <v>167</v>
      </c>
      <c r="C21" s="335" t="s">
        <v>168</v>
      </c>
      <c r="D21" s="336"/>
      <c r="E21" s="336"/>
      <c r="F21" s="337"/>
      <c r="G21" s="56"/>
      <c r="H21" s="53">
        <v>0.5</v>
      </c>
      <c r="I21" s="54"/>
      <c r="J21" s="55">
        <v>4</v>
      </c>
      <c r="K21" s="351"/>
      <c r="L21" s="352"/>
      <c r="M21" s="352"/>
      <c r="N21" s="353"/>
      <c r="T21">
        <v>4</v>
      </c>
    </row>
    <row r="22" spans="2:20">
      <c r="B22" s="57" t="s">
        <v>169</v>
      </c>
      <c r="C22" s="335" t="s">
        <v>170</v>
      </c>
      <c r="D22" s="336"/>
      <c r="E22" s="336"/>
      <c r="F22" s="336"/>
      <c r="G22" s="336"/>
      <c r="H22" s="337"/>
      <c r="I22" s="58"/>
      <c r="J22" s="59">
        <f>ROUND(H20/100*J20+H21/100*J21,4)</f>
        <v>4.4999999999999998E-2</v>
      </c>
      <c r="K22" s="338">
        <f>M17</f>
        <v>1630518.5342463376</v>
      </c>
      <c r="L22" s="339"/>
      <c r="M22" s="340">
        <f>ROUND(K22*J22,0)</f>
        <v>73373</v>
      </c>
      <c r="N22" s="341"/>
      <c r="O22" s="60"/>
    </row>
    <row r="23" spans="2:20">
      <c r="B23" s="57" t="s">
        <v>171</v>
      </c>
      <c r="C23" s="335" t="s">
        <v>172</v>
      </c>
      <c r="D23" s="336"/>
      <c r="E23" s="336"/>
      <c r="F23" s="336"/>
      <c r="G23" s="336"/>
      <c r="H23" s="337"/>
      <c r="I23" s="61"/>
      <c r="J23" s="62">
        <v>0.05</v>
      </c>
      <c r="K23" s="338">
        <f>M17</f>
        <v>1630518.5342463376</v>
      </c>
      <c r="L23" s="339"/>
      <c r="M23" s="340">
        <f>ROUND(K23*J23,0)</f>
        <v>81526</v>
      </c>
      <c r="N23" s="341"/>
      <c r="P23" s="63"/>
    </row>
    <row r="24" spans="2:20">
      <c r="B24" s="342" t="s">
        <v>173</v>
      </c>
      <c r="C24" s="64"/>
      <c r="D24" s="65"/>
      <c r="E24" s="66"/>
      <c r="F24" s="67"/>
      <c r="G24" s="344" t="s">
        <v>174</v>
      </c>
      <c r="H24" s="345"/>
      <c r="I24" s="344" t="s">
        <v>175</v>
      </c>
      <c r="J24" s="345"/>
      <c r="K24" s="344" t="s">
        <v>176</v>
      </c>
      <c r="L24" s="345"/>
      <c r="M24" s="346"/>
      <c r="N24" s="347"/>
      <c r="O24" s="354"/>
      <c r="P24" s="354"/>
    </row>
    <row r="25" spans="2:20">
      <c r="B25" s="343"/>
      <c r="C25" s="335" t="s">
        <v>177</v>
      </c>
      <c r="D25" s="336"/>
      <c r="E25" s="336"/>
      <c r="F25" s="337"/>
      <c r="G25" s="355">
        <f>IF(H15="j",ROUND(M17*(1-F24),0),0)</f>
        <v>1630519</v>
      </c>
      <c r="H25" s="356"/>
      <c r="I25" s="54"/>
      <c r="J25" s="55">
        <v>0</v>
      </c>
      <c r="K25" s="56"/>
      <c r="L25" s="68">
        <v>0.08</v>
      </c>
      <c r="M25" s="340">
        <f>ROUND(G25*J25*L25,0)</f>
        <v>0</v>
      </c>
      <c r="N25" s="341"/>
      <c r="O25" s="357"/>
      <c r="P25" s="358"/>
    </row>
    <row r="26" spans="2:20">
      <c r="B26" s="69"/>
      <c r="C26" s="359" t="s">
        <v>178</v>
      </c>
      <c r="D26" s="360"/>
      <c r="E26" s="360"/>
      <c r="F26" s="360"/>
      <c r="G26" s="360"/>
      <c r="H26" s="361"/>
      <c r="I26" s="70" t="s">
        <v>162</v>
      </c>
      <c r="J26" s="71"/>
      <c r="K26" s="344" t="s">
        <v>179</v>
      </c>
      <c r="L26" s="345"/>
      <c r="M26" s="362"/>
      <c r="N26" s="363"/>
    </row>
    <row r="27" spans="2:20">
      <c r="B27" s="51" t="s">
        <v>180</v>
      </c>
      <c r="C27" s="335" t="s">
        <v>181</v>
      </c>
      <c r="D27" s="336"/>
      <c r="E27" s="336"/>
      <c r="F27" s="336"/>
      <c r="G27" s="336"/>
      <c r="H27" s="337"/>
      <c r="I27" s="72"/>
      <c r="J27" s="73"/>
      <c r="K27" s="366">
        <v>0</v>
      </c>
      <c r="L27" s="367"/>
      <c r="M27" s="364"/>
      <c r="N27" s="365"/>
      <c r="O27" s="119"/>
    </row>
    <row r="28" spans="2:20">
      <c r="B28" s="51" t="s">
        <v>182</v>
      </c>
      <c r="C28" s="335" t="s">
        <v>183</v>
      </c>
      <c r="D28" s="336"/>
      <c r="E28" s="336"/>
      <c r="F28" s="336"/>
      <c r="G28" s="336"/>
      <c r="H28" s="337"/>
      <c r="I28" s="74"/>
      <c r="J28" s="75"/>
      <c r="K28" s="366">
        <v>0</v>
      </c>
      <c r="L28" s="367"/>
      <c r="M28" s="374"/>
      <c r="N28" s="375"/>
      <c r="O28" s="119"/>
      <c r="P28" s="76"/>
    </row>
    <row r="29" spans="2:20">
      <c r="B29" s="51" t="s">
        <v>184</v>
      </c>
      <c r="C29" s="335" t="s">
        <v>185</v>
      </c>
      <c r="D29" s="336"/>
      <c r="E29" s="336"/>
      <c r="F29" s="336"/>
      <c r="G29" s="336"/>
      <c r="H29" s="337"/>
      <c r="I29" s="54"/>
      <c r="J29" s="77">
        <f>INDEX(InputValues!D18:D22,InputValues!D24)</f>
        <v>0</v>
      </c>
      <c r="K29" s="366">
        <v>0</v>
      </c>
      <c r="L29" s="367"/>
      <c r="M29" s="340">
        <f>IF(H16=1,0,ROUND(J29*K29,0))</f>
        <v>0</v>
      </c>
      <c r="N29" s="341"/>
      <c r="O29" s="120"/>
      <c r="P29" s="78"/>
    </row>
    <row r="30" spans="2:20">
      <c r="B30" s="342" t="s">
        <v>186</v>
      </c>
      <c r="C30" s="368" t="s">
        <v>187</v>
      </c>
      <c r="D30" s="369"/>
      <c r="E30" s="369"/>
      <c r="F30" s="369"/>
      <c r="G30" s="369"/>
      <c r="H30" s="369"/>
      <c r="I30" s="344" t="s">
        <v>162</v>
      </c>
      <c r="J30" s="345"/>
      <c r="K30" s="372">
        <v>0</v>
      </c>
      <c r="L30" s="373"/>
      <c r="M30" s="374"/>
      <c r="N30" s="375"/>
      <c r="O30" s="119"/>
      <c r="P30" s="79"/>
    </row>
    <row r="31" spans="2:20">
      <c r="B31" s="343"/>
      <c r="C31" s="370"/>
      <c r="D31" s="371"/>
      <c r="E31" s="371"/>
      <c r="F31" s="371"/>
      <c r="G31" s="371"/>
      <c r="H31" s="371"/>
      <c r="I31" s="80"/>
      <c r="J31" s="53">
        <f>J29</f>
        <v>0</v>
      </c>
      <c r="K31" s="338">
        <f>M17</f>
        <v>1630518.5342463376</v>
      </c>
      <c r="L31" s="339"/>
      <c r="M31" s="340">
        <f>ROUND(K31*J31,0)</f>
        <v>0</v>
      </c>
      <c r="N31" s="341"/>
      <c r="O31" s="119"/>
      <c r="P31" s="79"/>
    </row>
    <row r="32" spans="2:20">
      <c r="B32" s="51" t="s">
        <v>188</v>
      </c>
      <c r="C32" s="380" t="s">
        <v>189</v>
      </c>
      <c r="D32" s="381"/>
      <c r="E32" s="381"/>
      <c r="F32" s="381"/>
      <c r="G32" s="381"/>
      <c r="H32" s="381"/>
      <c r="I32" s="381"/>
      <c r="J32" s="381"/>
      <c r="K32" s="381"/>
      <c r="L32" s="382"/>
      <c r="M32" s="340">
        <f>SUBTOTAL(9,M22:N31)</f>
        <v>154899</v>
      </c>
      <c r="N32" s="341"/>
      <c r="O32" s="121"/>
      <c r="P32" s="81"/>
    </row>
    <row r="33" spans="1:16">
      <c r="B33" s="310"/>
      <c r="C33" s="311"/>
      <c r="D33" s="311"/>
      <c r="E33" s="312"/>
      <c r="F33" s="383" t="s">
        <v>190</v>
      </c>
      <c r="G33" s="384"/>
      <c r="H33" s="384"/>
      <c r="I33" s="384"/>
      <c r="J33" s="384"/>
      <c r="K33" s="385"/>
      <c r="L33" s="316"/>
      <c r="M33" s="317"/>
      <c r="N33" s="318"/>
      <c r="O33" s="119"/>
      <c r="P33" s="82"/>
    </row>
    <row r="34" spans="1:16">
      <c r="B34" s="386"/>
      <c r="C34" s="387"/>
      <c r="D34" s="387"/>
      <c r="E34" s="387"/>
      <c r="F34" s="387"/>
      <c r="G34" s="387"/>
      <c r="H34" s="388"/>
      <c r="I34" s="344" t="s">
        <v>191</v>
      </c>
      <c r="J34" s="345"/>
      <c r="K34" s="344" t="s">
        <v>136</v>
      </c>
      <c r="L34" s="345"/>
      <c r="M34" s="344" t="s">
        <v>192</v>
      </c>
      <c r="N34" s="389"/>
      <c r="O34" s="121"/>
      <c r="P34" s="83"/>
    </row>
    <row r="35" spans="1:16">
      <c r="B35" s="51" t="s">
        <v>193</v>
      </c>
      <c r="C35" s="335" t="s">
        <v>194</v>
      </c>
      <c r="D35" s="336"/>
      <c r="E35" s="336"/>
      <c r="F35" s="336"/>
      <c r="G35" s="336"/>
      <c r="H35" s="337"/>
      <c r="I35" s="338">
        <v>1717349</v>
      </c>
      <c r="J35" s="339"/>
      <c r="K35" s="338">
        <f>M17</f>
        <v>1630518.5342463376</v>
      </c>
      <c r="L35" s="339"/>
      <c r="M35" s="376">
        <v>0</v>
      </c>
      <c r="N35" s="377"/>
      <c r="O35" s="122"/>
      <c r="P35" s="84"/>
    </row>
    <row r="36" spans="1:16">
      <c r="B36" s="51" t="s">
        <v>195</v>
      </c>
      <c r="C36" s="335" t="s">
        <v>196</v>
      </c>
      <c r="D36" s="336"/>
      <c r="E36" s="336"/>
      <c r="F36" s="336"/>
      <c r="G36" s="336"/>
      <c r="H36" s="337"/>
      <c r="I36" s="378">
        <v>3599</v>
      </c>
      <c r="J36" s="379"/>
      <c r="K36" s="338"/>
      <c r="L36" s="339"/>
      <c r="M36" s="376">
        <v>0</v>
      </c>
      <c r="N36" s="377"/>
      <c r="O36" s="120"/>
      <c r="P36" s="84"/>
    </row>
    <row r="37" spans="1:16">
      <c r="B37" s="51" t="s">
        <v>197</v>
      </c>
      <c r="C37" s="335" t="s">
        <v>198</v>
      </c>
      <c r="D37" s="336"/>
      <c r="E37" s="336"/>
      <c r="F37" s="336"/>
      <c r="G37" s="336"/>
      <c r="H37" s="337"/>
      <c r="I37" s="378">
        <v>172095</v>
      </c>
      <c r="J37" s="379"/>
      <c r="K37" s="338">
        <f>M32</f>
        <v>154899</v>
      </c>
      <c r="L37" s="339"/>
      <c r="M37" s="376">
        <v>0</v>
      </c>
      <c r="N37" s="377"/>
    </row>
    <row r="38" spans="1:16">
      <c r="B38" s="51" t="s">
        <v>199</v>
      </c>
      <c r="C38" s="335" t="s">
        <v>200</v>
      </c>
      <c r="D38" s="336"/>
      <c r="E38" s="336"/>
      <c r="F38" s="336"/>
      <c r="G38" s="336"/>
      <c r="H38" s="337"/>
      <c r="I38" s="340">
        <f>SUM(I35:J37)</f>
        <v>1893043</v>
      </c>
      <c r="J38" s="396"/>
      <c r="K38" s="338">
        <f>SUM(K35:L37)</f>
        <v>1785417.5342463376</v>
      </c>
      <c r="L38" s="339"/>
      <c r="M38" s="338">
        <f>SUM(M35:N37)</f>
        <v>0</v>
      </c>
      <c r="N38" s="397"/>
    </row>
    <row r="39" spans="1:16">
      <c r="B39" s="51" t="s">
        <v>201</v>
      </c>
      <c r="C39" s="335" t="s">
        <v>202</v>
      </c>
      <c r="D39" s="336"/>
      <c r="E39" s="336"/>
      <c r="F39" s="336"/>
      <c r="G39" s="336"/>
      <c r="H39" s="337"/>
      <c r="I39" s="390">
        <f>IF(I35&gt;0,(I36+I37)/I35,0)</f>
        <v>0.10230535552179551</v>
      </c>
      <c r="J39" s="391"/>
      <c r="K39" s="390">
        <f>IF(K35&gt;0,(K36+K37)/K35,0)</f>
        <v>9.4999840079461481E-2</v>
      </c>
      <c r="L39" s="391"/>
      <c r="M39" s="390">
        <f>IF(M35&gt;0,(M36+M37)/M35,0)</f>
        <v>0</v>
      </c>
      <c r="N39" s="392"/>
    </row>
    <row r="40" spans="1:16">
      <c r="B40" s="310"/>
      <c r="C40" s="311"/>
      <c r="D40" s="311"/>
      <c r="E40" s="312"/>
      <c r="F40" s="383" t="s">
        <v>203</v>
      </c>
      <c r="G40" s="384"/>
      <c r="H40" s="384"/>
      <c r="I40" s="384"/>
      <c r="J40" s="385"/>
      <c r="K40" s="393"/>
      <c r="L40" s="394"/>
      <c r="M40" s="394"/>
      <c r="N40" s="395"/>
    </row>
    <row r="41" spans="1:16">
      <c r="A41" s="37"/>
      <c r="B41" s="300" t="s">
        <v>204</v>
      </c>
      <c r="C41" s="328"/>
      <c r="D41" s="328"/>
      <c r="E41" s="328"/>
      <c r="F41" s="327" t="s">
        <v>205</v>
      </c>
      <c r="G41" s="328"/>
      <c r="H41" s="328"/>
      <c r="I41" s="328"/>
      <c r="J41" s="329"/>
      <c r="K41" s="327" t="s">
        <v>206</v>
      </c>
      <c r="L41" s="329"/>
      <c r="M41" s="407" t="s">
        <v>207</v>
      </c>
      <c r="N41" s="408"/>
      <c r="O41" s="37"/>
      <c r="P41" s="37"/>
    </row>
    <row r="42" spans="1:16">
      <c r="A42" s="37"/>
      <c r="B42" s="403"/>
      <c r="C42" s="404"/>
      <c r="D42" s="404"/>
      <c r="E42" s="404"/>
      <c r="F42" s="405"/>
      <c r="G42" s="404"/>
      <c r="H42" s="404"/>
      <c r="I42" s="404"/>
      <c r="J42" s="406"/>
      <c r="K42" s="405"/>
      <c r="L42" s="406"/>
      <c r="M42" s="409">
        <f ca="1">TODAY()</f>
        <v>41653</v>
      </c>
      <c r="N42" s="410"/>
      <c r="O42" s="37"/>
      <c r="P42" s="37"/>
    </row>
    <row r="43" spans="1:16">
      <c r="B43" s="310"/>
      <c r="C43" s="311"/>
      <c r="D43" s="311"/>
      <c r="E43" s="312"/>
      <c r="F43" s="383" t="s">
        <v>208</v>
      </c>
      <c r="G43" s="384"/>
      <c r="H43" s="384"/>
      <c r="I43" s="384"/>
      <c r="J43" s="385"/>
      <c r="K43" s="393"/>
      <c r="L43" s="394"/>
      <c r="M43" s="394"/>
      <c r="N43" s="395"/>
    </row>
    <row r="44" spans="1:16" ht="15.75" thickBot="1">
      <c r="B44" s="398" t="s">
        <v>209</v>
      </c>
      <c r="C44" s="399"/>
      <c r="D44" s="399"/>
      <c r="E44" s="400"/>
      <c r="F44" s="401" t="s">
        <v>210</v>
      </c>
      <c r="G44" s="399"/>
      <c r="H44" s="400"/>
      <c r="I44" s="401" t="s">
        <v>211</v>
      </c>
      <c r="J44" s="399"/>
      <c r="K44" s="400"/>
      <c r="L44" s="401" t="s">
        <v>212</v>
      </c>
      <c r="M44" s="399"/>
      <c r="N44" s="402"/>
    </row>
    <row r="45" spans="1:16">
      <c r="B45" s="85" t="s">
        <v>213</v>
      </c>
      <c r="C45" s="85"/>
      <c r="D45" s="85"/>
      <c r="E45" s="85"/>
      <c r="F45" s="86" t="s">
        <v>214</v>
      </c>
      <c r="G45" s="87"/>
      <c r="H45" s="87"/>
      <c r="I45" s="87"/>
      <c r="J45" s="87"/>
      <c r="K45" s="87"/>
      <c r="L45" s="87"/>
      <c r="M45" s="88"/>
    </row>
    <row r="46" spans="1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</sheetData>
  <mergeCells count="129">
    <mergeCell ref="B44:E44"/>
    <mergeCell ref="F44:H44"/>
    <mergeCell ref="I44:K44"/>
    <mergeCell ref="L44:N44"/>
    <mergeCell ref="B41:E42"/>
    <mergeCell ref="F41:J42"/>
    <mergeCell ref="K41:L42"/>
    <mergeCell ref="M41:N41"/>
    <mergeCell ref="M42:N42"/>
    <mergeCell ref="B43:E43"/>
    <mergeCell ref="F43:J43"/>
    <mergeCell ref="K43:N43"/>
    <mergeCell ref="C39:H39"/>
    <mergeCell ref="I39:J39"/>
    <mergeCell ref="K39:L39"/>
    <mergeCell ref="M39:N39"/>
    <mergeCell ref="B40:E40"/>
    <mergeCell ref="F40:J40"/>
    <mergeCell ref="K40:N40"/>
    <mergeCell ref="C37:H37"/>
    <mergeCell ref="I37:J37"/>
    <mergeCell ref="K37:L37"/>
    <mergeCell ref="M37:N37"/>
    <mergeCell ref="C38:H38"/>
    <mergeCell ref="I38:J38"/>
    <mergeCell ref="K38:L38"/>
    <mergeCell ref="M38:N38"/>
    <mergeCell ref="C35:H35"/>
    <mergeCell ref="I35:J35"/>
    <mergeCell ref="K35:L35"/>
    <mergeCell ref="M35:N35"/>
    <mergeCell ref="C36:H36"/>
    <mergeCell ref="I36:J36"/>
    <mergeCell ref="K36:L36"/>
    <mergeCell ref="M36:N36"/>
    <mergeCell ref="C32:L32"/>
    <mergeCell ref="M32:N32"/>
    <mergeCell ref="B33:E33"/>
    <mergeCell ref="F33:K33"/>
    <mergeCell ref="L33:N33"/>
    <mergeCell ref="B34:H34"/>
    <mergeCell ref="I34:J34"/>
    <mergeCell ref="K34:L34"/>
    <mergeCell ref="M34:N34"/>
    <mergeCell ref="B30:B31"/>
    <mergeCell ref="C30:H31"/>
    <mergeCell ref="I30:J30"/>
    <mergeCell ref="K30:L30"/>
    <mergeCell ref="M30:N30"/>
    <mergeCell ref="K31:L31"/>
    <mergeCell ref="M31:N31"/>
    <mergeCell ref="C28:H28"/>
    <mergeCell ref="K28:L28"/>
    <mergeCell ref="M28:N28"/>
    <mergeCell ref="C29:H29"/>
    <mergeCell ref="K29:L29"/>
    <mergeCell ref="M29:N29"/>
    <mergeCell ref="O24:P24"/>
    <mergeCell ref="C25:F25"/>
    <mergeCell ref="G25:H25"/>
    <mergeCell ref="M25:N25"/>
    <mergeCell ref="O25:P25"/>
    <mergeCell ref="C26:H26"/>
    <mergeCell ref="K26:L26"/>
    <mergeCell ref="M26:N27"/>
    <mergeCell ref="C27:H27"/>
    <mergeCell ref="K27:L27"/>
    <mergeCell ref="C23:H23"/>
    <mergeCell ref="K23:L23"/>
    <mergeCell ref="M23:N23"/>
    <mergeCell ref="B24:B25"/>
    <mergeCell ref="G24:H24"/>
    <mergeCell ref="I24:J24"/>
    <mergeCell ref="K24:L24"/>
    <mergeCell ref="M24:N24"/>
    <mergeCell ref="C20:F20"/>
    <mergeCell ref="K20:N21"/>
    <mergeCell ref="C21:F21"/>
    <mergeCell ref="C22:H22"/>
    <mergeCell ref="K22:L22"/>
    <mergeCell ref="M22:N22"/>
    <mergeCell ref="B18:E18"/>
    <mergeCell ref="F18:K18"/>
    <mergeCell ref="L18:N18"/>
    <mergeCell ref="C19:F19"/>
    <mergeCell ref="G19:H19"/>
    <mergeCell ref="I19:J19"/>
    <mergeCell ref="K19:L19"/>
    <mergeCell ref="M19:N19"/>
    <mergeCell ref="B16:C17"/>
    <mergeCell ref="F16:H16"/>
    <mergeCell ref="J16:L16"/>
    <mergeCell ref="M16:N16"/>
    <mergeCell ref="D17:E17"/>
    <mergeCell ref="F17:H17"/>
    <mergeCell ref="J17:L17"/>
    <mergeCell ref="M17:N17"/>
    <mergeCell ref="B14:E15"/>
    <mergeCell ref="F14:H14"/>
    <mergeCell ref="J14:L14"/>
    <mergeCell ref="M14:N14"/>
    <mergeCell ref="J15:L15"/>
    <mergeCell ref="M15:N15"/>
    <mergeCell ref="B12:E13"/>
    <mergeCell ref="F12:H13"/>
    <mergeCell ref="J12:L12"/>
    <mergeCell ref="M12:N12"/>
    <mergeCell ref="J13:L13"/>
    <mergeCell ref="M13:N13"/>
    <mergeCell ref="B8:H9"/>
    <mergeCell ref="I8:I9"/>
    <mergeCell ref="J8:L9"/>
    <mergeCell ref="M8:N9"/>
    <mergeCell ref="B10:H11"/>
    <mergeCell ref="J10:L10"/>
    <mergeCell ref="M10:N10"/>
    <mergeCell ref="J11:L11"/>
    <mergeCell ref="M11:N11"/>
    <mergeCell ref="B3:L4"/>
    <mergeCell ref="M3:N3"/>
    <mergeCell ref="M4:N4"/>
    <mergeCell ref="B5:C7"/>
    <mergeCell ref="D5:J5"/>
    <mergeCell ref="K5:L7"/>
    <mergeCell ref="M5:N5"/>
    <mergeCell ref="D6:E6"/>
    <mergeCell ref="G6:I6"/>
    <mergeCell ref="D7:E7"/>
    <mergeCell ref="G7:I7"/>
  </mergeCells>
  <hyperlinks>
    <hyperlink ref="B1" r:id="rId1" location="P244_13401"/>
  </hyperlinks>
  <pageMargins left="0" right="0.2" top="0.75" bottom="0.75" header="0.3" footer="0.3"/>
  <pageSetup scale="75" orientation="portrait" horizontalDpi="1200" verticalDpi="120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5" sqref="B15"/>
    </sheetView>
  </sheetViews>
  <sheetFormatPr defaultRowHeight="15"/>
  <cols>
    <col min="1" max="1" width="27.5703125" bestFit="1" customWidth="1"/>
    <col min="2" max="2" width="17.42578125" customWidth="1"/>
    <col min="3" max="3" width="7.5703125" bestFit="1" customWidth="1"/>
    <col min="4" max="4" width="6" bestFit="1" customWidth="1"/>
    <col min="7" max="7" width="11.5703125" bestFit="1" customWidth="1"/>
  </cols>
  <sheetData>
    <row r="1" spans="1:7">
      <c r="A1" s="161" t="s">
        <v>1</v>
      </c>
      <c r="B1" s="162" t="s">
        <v>19</v>
      </c>
      <c r="C1" s="163" t="s">
        <v>20</v>
      </c>
      <c r="D1" s="164" t="s">
        <v>21</v>
      </c>
    </row>
    <row r="2" spans="1:7">
      <c r="A2" s="132" t="s">
        <v>15</v>
      </c>
      <c r="B2" s="17">
        <f t="shared" ref="B2:B3" si="0">$D$17*C2*D2</f>
        <v>23114</v>
      </c>
      <c r="C2" s="17">
        <v>44.45</v>
      </c>
      <c r="D2" s="165">
        <v>0.25</v>
      </c>
    </row>
    <row r="3" spans="1:7">
      <c r="A3" s="132" t="s">
        <v>305</v>
      </c>
      <c r="B3" s="17">
        <f t="shared" si="0"/>
        <v>13660.4</v>
      </c>
      <c r="C3" s="17">
        <v>26.27</v>
      </c>
      <c r="D3" s="165">
        <v>0.25</v>
      </c>
      <c r="G3" s="232" t="s">
        <v>275</v>
      </c>
    </row>
    <row r="4" spans="1:7">
      <c r="A4" s="132" t="s">
        <v>16</v>
      </c>
      <c r="B4" s="17">
        <f>$D$17*C4*D4</f>
        <v>24209.328000000001</v>
      </c>
      <c r="C4" s="17">
        <v>35.270000000000003</v>
      </c>
      <c r="D4" s="165">
        <v>0.33</v>
      </c>
      <c r="G4" s="232" t="s">
        <v>275</v>
      </c>
    </row>
    <row r="5" spans="1:7">
      <c r="A5" s="132" t="s">
        <v>306</v>
      </c>
      <c r="B5" s="17">
        <f>$D$17*C5*D5</f>
        <v>24209.328000000001</v>
      </c>
      <c r="C5" s="17">
        <v>35.270000000000003</v>
      </c>
      <c r="D5" s="165">
        <v>0.33</v>
      </c>
    </row>
    <row r="6" spans="1:7">
      <c r="A6" s="132" t="s">
        <v>17</v>
      </c>
      <c r="B6" s="17">
        <f>$D$17*C6*D6</f>
        <v>23564.112000000001</v>
      </c>
      <c r="C6" s="17">
        <v>34.33</v>
      </c>
      <c r="D6" s="165">
        <v>0.33</v>
      </c>
    </row>
    <row r="7" spans="1:7">
      <c r="A7" s="132" t="s">
        <v>18</v>
      </c>
      <c r="B7" s="17">
        <f>$D$17*C7*D7</f>
        <v>94970.512000000002</v>
      </c>
      <c r="C7" s="17">
        <v>34.33</v>
      </c>
      <c r="D7" s="165">
        <v>1.33</v>
      </c>
    </row>
    <row r="8" spans="1:7">
      <c r="A8" s="132" t="s">
        <v>280</v>
      </c>
      <c r="B8" s="17">
        <f>$D$17*C8*D8</f>
        <v>124633.60000000001</v>
      </c>
      <c r="C8" s="17">
        <v>29.96</v>
      </c>
      <c r="D8" s="165">
        <v>2</v>
      </c>
    </row>
    <row r="9" spans="1:7">
      <c r="A9" s="166" t="s">
        <v>70</v>
      </c>
      <c r="B9" s="17">
        <f>SUM(B2:B8)</f>
        <v>328361.28000000003</v>
      </c>
      <c r="C9" s="17"/>
      <c r="D9" s="165"/>
    </row>
    <row r="10" spans="1:7">
      <c r="A10" s="166" t="s">
        <v>322</v>
      </c>
      <c r="B10" s="17">
        <f>B9*C10</f>
        <v>180598.70400000003</v>
      </c>
      <c r="C10" s="233">
        <v>0.55000000000000004</v>
      </c>
      <c r="D10" s="165"/>
    </row>
    <row r="11" spans="1:7">
      <c r="A11" s="166" t="s">
        <v>323</v>
      </c>
      <c r="B11" s="17">
        <f>SUM(B9:B10)</f>
        <v>508959.98400000005</v>
      </c>
      <c r="C11" s="17"/>
      <c r="D11" s="165"/>
    </row>
    <row r="12" spans="1:7">
      <c r="A12" s="220" t="s">
        <v>281</v>
      </c>
      <c r="B12" s="3">
        <f>B11*C12</f>
        <v>76343.997600000002</v>
      </c>
      <c r="C12" s="221">
        <v>0.15</v>
      </c>
      <c r="D12" s="168"/>
    </row>
    <row r="13" spans="1:7">
      <c r="A13" s="220" t="s">
        <v>282</v>
      </c>
      <c r="B13" s="3">
        <f>SUM(B11:B12)</f>
        <v>585303.98160000006</v>
      </c>
      <c r="C13" s="3"/>
      <c r="D13" s="168"/>
    </row>
    <row r="14" spans="1:7">
      <c r="A14" s="167" t="s">
        <v>283</v>
      </c>
      <c r="B14" s="3">
        <f>B13*C14</f>
        <v>58530.398160000012</v>
      </c>
      <c r="C14" s="221">
        <v>0.1</v>
      </c>
      <c r="D14" s="168"/>
    </row>
    <row r="15" spans="1:7">
      <c r="A15" s="167" t="s">
        <v>284</v>
      </c>
      <c r="B15" s="3">
        <f>SUM(B13:B14)</f>
        <v>643834.37976000004</v>
      </c>
      <c r="C15" s="221"/>
      <c r="D15" s="168"/>
    </row>
    <row r="16" spans="1:7">
      <c r="A16" s="167"/>
      <c r="B16" s="3"/>
      <c r="C16" s="221"/>
      <c r="D16" s="168"/>
    </row>
    <row r="17" spans="1:4" ht="15.75" thickBot="1">
      <c r="A17" s="169" t="s">
        <v>23</v>
      </c>
      <c r="B17" s="170"/>
      <c r="C17" s="171"/>
      <c r="D17" s="172">
        <v>2080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F15" sqref="F15"/>
    </sheetView>
  </sheetViews>
  <sheetFormatPr defaultRowHeight="15"/>
  <cols>
    <col min="1" max="1" width="24.5703125" bestFit="1" customWidth="1"/>
    <col min="2" max="2" width="14.28515625" customWidth="1"/>
    <col min="3" max="3" width="12.28515625" customWidth="1"/>
    <col min="4" max="4" width="9" customWidth="1"/>
    <col min="5" max="5" width="15.85546875" style="36" customWidth="1"/>
    <col min="6" max="6" width="17.140625" style="36" customWidth="1"/>
    <col min="7" max="7" width="16.28515625" style="36" customWidth="1"/>
    <col min="8" max="8" width="18.140625" style="36" customWidth="1"/>
    <col min="9" max="9" width="16" customWidth="1"/>
  </cols>
  <sheetData>
    <row r="1" spans="1:9">
      <c r="A1" s="177" t="s">
        <v>23</v>
      </c>
      <c r="B1" s="178"/>
      <c r="C1" s="179"/>
      <c r="D1" s="189">
        <v>2080</v>
      </c>
      <c r="E1" s="180"/>
      <c r="F1" s="180"/>
      <c r="G1" s="180"/>
      <c r="H1" s="180"/>
      <c r="I1" s="181"/>
    </row>
    <row r="2" spans="1:9">
      <c r="A2" s="167"/>
      <c r="B2" s="3"/>
      <c r="C2" s="182"/>
      <c r="D2" s="183"/>
      <c r="E2" s="184"/>
      <c r="F2" s="184"/>
      <c r="G2" s="184"/>
      <c r="H2" s="184"/>
      <c r="I2" s="105"/>
    </row>
    <row r="3" spans="1:9" s="37" customFormat="1" ht="60">
      <c r="A3" s="185" t="s">
        <v>112</v>
      </c>
      <c r="B3" s="173" t="s">
        <v>113</v>
      </c>
      <c r="C3" s="173" t="s">
        <v>114</v>
      </c>
      <c r="D3" s="174" t="s">
        <v>21</v>
      </c>
      <c r="E3" s="175" t="s">
        <v>276</v>
      </c>
      <c r="F3" s="222" t="s">
        <v>287</v>
      </c>
      <c r="G3" s="222" t="s">
        <v>285</v>
      </c>
      <c r="H3" s="222" t="s">
        <v>286</v>
      </c>
      <c r="I3" s="186" t="s">
        <v>111</v>
      </c>
    </row>
    <row r="4" spans="1:9">
      <c r="A4" s="132" t="s">
        <v>14</v>
      </c>
      <c r="B4" s="17">
        <f>D4*$D$1*C4</f>
        <v>84760</v>
      </c>
      <c r="C4" s="17">
        <v>40.75</v>
      </c>
      <c r="D4" s="160">
        <v>1</v>
      </c>
      <c r="E4" s="176">
        <v>40.130000000000003</v>
      </c>
      <c r="F4" s="223">
        <f>E4*2080</f>
        <v>83470.400000000009</v>
      </c>
      <c r="G4" s="223">
        <v>41.04</v>
      </c>
      <c r="H4" s="223">
        <f>G4*2080</f>
        <v>85363.199999999997</v>
      </c>
      <c r="I4" s="187" t="s">
        <v>109</v>
      </c>
    </row>
    <row r="5" spans="1:9">
      <c r="A5" s="132" t="s">
        <v>13</v>
      </c>
      <c r="B5" s="17">
        <f>D5*$D$1*C5</f>
        <v>58240</v>
      </c>
      <c r="C5" s="17">
        <v>28</v>
      </c>
      <c r="D5" s="160">
        <v>1</v>
      </c>
      <c r="E5" s="176">
        <v>27.45</v>
      </c>
      <c r="F5" s="223">
        <f>E5*2080</f>
        <v>57096</v>
      </c>
      <c r="G5" s="223">
        <v>29.27</v>
      </c>
      <c r="H5" s="223">
        <f>G5*2080</f>
        <v>60881.599999999999</v>
      </c>
      <c r="I5" s="187" t="s">
        <v>110</v>
      </c>
    </row>
    <row r="6" spans="1:9">
      <c r="A6" s="166" t="s">
        <v>12</v>
      </c>
      <c r="B6" s="190">
        <f>SUM(B4:B5)</f>
        <v>143000</v>
      </c>
      <c r="C6" s="17"/>
      <c r="D6" s="160"/>
      <c r="E6" s="176"/>
      <c r="F6" s="225">
        <f>SUM(F4:F5)</f>
        <v>140566.40000000002</v>
      </c>
      <c r="G6" s="223"/>
      <c r="H6" s="225">
        <f>SUM(H4:H5)</f>
        <v>146244.79999999999</v>
      </c>
      <c r="I6" s="187"/>
    </row>
    <row r="7" spans="1:9">
      <c r="A7" s="104"/>
      <c r="B7" s="84"/>
      <c r="C7" s="84"/>
      <c r="D7" s="84"/>
      <c r="E7" s="184"/>
      <c r="F7" s="184"/>
      <c r="G7" s="184"/>
      <c r="H7" s="184"/>
      <c r="I7" s="105"/>
    </row>
    <row r="8" spans="1:9" ht="15.75" thickBot="1">
      <c r="A8" s="110"/>
      <c r="B8" s="188"/>
      <c r="C8" s="188"/>
      <c r="D8" s="234"/>
      <c r="E8" s="224"/>
      <c r="F8" s="224"/>
      <c r="G8" s="224"/>
      <c r="H8" s="224"/>
      <c r="I8" s="111"/>
    </row>
    <row r="10" spans="1:9">
      <c r="B10" t="s">
        <v>257</v>
      </c>
    </row>
  </sheetData>
  <pageMargins left="0.7" right="0.7" top="0.75" bottom="0.75" header="0.3" footer="0.3"/>
  <pageSetup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22" sqref="F22"/>
    </sheetView>
  </sheetViews>
  <sheetFormatPr defaultRowHeight="15"/>
  <cols>
    <col min="1" max="1" width="40.140625" bestFit="1" customWidth="1"/>
    <col min="2" max="3" width="15.5703125" bestFit="1" customWidth="1"/>
    <col min="4" max="4" width="14.7109375" bestFit="1" customWidth="1"/>
    <col min="5" max="5" width="15.5703125" bestFit="1" customWidth="1"/>
    <col min="6" max="6" width="16" bestFit="1" customWidth="1"/>
  </cols>
  <sheetData>
    <row r="1" spans="1:6" ht="15.75" thickBot="1"/>
    <row r="2" spans="1:6" ht="16.5" thickBot="1">
      <c r="A2" s="5" t="s">
        <v>116</v>
      </c>
      <c r="B2" s="6" t="s">
        <v>90</v>
      </c>
      <c r="C2" s="6" t="s">
        <v>91</v>
      </c>
      <c r="D2" s="6" t="s">
        <v>92</v>
      </c>
      <c r="E2" s="6" t="s">
        <v>93</v>
      </c>
      <c r="F2" s="6" t="s">
        <v>19</v>
      </c>
    </row>
    <row r="3" spans="1:6" ht="15.75" thickBot="1">
      <c r="A3" s="7"/>
      <c r="B3" s="8"/>
      <c r="C3" s="8"/>
      <c r="D3" s="8"/>
      <c r="E3" s="8"/>
      <c r="F3" s="8"/>
    </row>
    <row r="4" spans="1:6" ht="15.75" thickBot="1">
      <c r="A4" s="7" t="s">
        <v>29</v>
      </c>
      <c r="B4" s="9"/>
      <c r="C4" s="9"/>
      <c r="D4" s="9"/>
      <c r="E4" s="9"/>
      <c r="F4" s="9"/>
    </row>
    <row r="5" spans="1:6" ht="15.75" thickBot="1">
      <c r="A5" s="7" t="s">
        <v>94</v>
      </c>
      <c r="B5" s="9"/>
      <c r="C5" s="9"/>
      <c r="D5" s="9"/>
      <c r="E5" s="9"/>
      <c r="F5" s="9"/>
    </row>
    <row r="6" spans="1:6" ht="15.75" thickBot="1">
      <c r="A6" s="7" t="s">
        <v>89</v>
      </c>
      <c r="B6" s="9">
        <f>B4-B5</f>
        <v>0</v>
      </c>
      <c r="C6" s="9">
        <f>C4-C5</f>
        <v>0</v>
      </c>
      <c r="D6" s="9">
        <f>D4-D5</f>
        <v>0</v>
      </c>
      <c r="E6" s="9">
        <f>E4-E5</f>
        <v>0</v>
      </c>
      <c r="F6" s="9">
        <f>F4-F5</f>
        <v>0</v>
      </c>
    </row>
    <row r="7" spans="1:6" ht="15.75" thickBot="1">
      <c r="A7" s="7" t="s">
        <v>95</v>
      </c>
      <c r="B7" s="10"/>
      <c r="C7" s="10"/>
      <c r="D7" s="10"/>
      <c r="E7" s="10"/>
      <c r="F7" s="11"/>
    </row>
    <row r="9" spans="1:6" ht="15.75" thickBot="1"/>
    <row r="10" spans="1:6" ht="16.5" thickBot="1">
      <c r="A10" s="5" t="s">
        <v>115</v>
      </c>
      <c r="B10" s="6" t="s">
        <v>90</v>
      </c>
      <c r="C10" s="6" t="s">
        <v>91</v>
      </c>
      <c r="D10" s="6" t="s">
        <v>92</v>
      </c>
      <c r="E10" s="6" t="s">
        <v>93</v>
      </c>
      <c r="F10" s="6" t="s">
        <v>19</v>
      </c>
    </row>
    <row r="11" spans="1:6" ht="15.75" thickBot="1">
      <c r="A11" s="7"/>
      <c r="B11" s="8"/>
      <c r="C11" s="8"/>
      <c r="D11" s="8"/>
      <c r="E11" s="8"/>
      <c r="F11" s="8"/>
    </row>
    <row r="12" spans="1:6" ht="15.75" thickBot="1">
      <c r="A12" s="7" t="s">
        <v>29</v>
      </c>
      <c r="B12" s="9"/>
      <c r="C12" s="9"/>
      <c r="D12" s="9"/>
      <c r="E12" s="9"/>
      <c r="F12" s="9"/>
    </row>
    <row r="13" spans="1:6" ht="15.75" thickBot="1">
      <c r="A13" s="7" t="s">
        <v>94</v>
      </c>
      <c r="B13" s="9"/>
      <c r="C13" s="9"/>
      <c r="D13" s="9"/>
      <c r="E13" s="9"/>
      <c r="F13" s="9"/>
    </row>
    <row r="14" spans="1:6" ht="15.75" thickBot="1">
      <c r="A14" s="7" t="s">
        <v>89</v>
      </c>
      <c r="B14" s="9">
        <f>B12-B13</f>
        <v>0</v>
      </c>
      <c r="C14" s="9">
        <f>C12-C13</f>
        <v>0</v>
      </c>
      <c r="D14" s="9">
        <f>D12-D13</f>
        <v>0</v>
      </c>
      <c r="E14" s="9">
        <f>E12-E13</f>
        <v>0</v>
      </c>
      <c r="F14" s="9">
        <f>F12-F13</f>
        <v>0</v>
      </c>
    </row>
    <row r="15" spans="1:6" ht="15.75" thickBot="1">
      <c r="A15" s="7" t="s">
        <v>95</v>
      </c>
      <c r="B15" s="10"/>
      <c r="C15" s="10"/>
      <c r="D15" s="10"/>
      <c r="E15" s="10"/>
      <c r="F15" s="10"/>
    </row>
    <row r="17" spans="1:4">
      <c r="A17" s="239" t="s">
        <v>117</v>
      </c>
      <c r="B17" s="239"/>
      <c r="C17" s="239"/>
      <c r="D17" s="12"/>
    </row>
    <row r="18" spans="1:4">
      <c r="A18" s="239" t="s">
        <v>118</v>
      </c>
      <c r="B18" s="239"/>
      <c r="C18" s="239"/>
      <c r="D18" s="12"/>
    </row>
    <row r="20" spans="1:4">
      <c r="C20" t="s">
        <v>100</v>
      </c>
      <c r="D20" s="13" t="e">
        <f>D18/D17</f>
        <v>#DIV/0!</v>
      </c>
    </row>
  </sheetData>
  <mergeCells count="2">
    <mergeCell ref="A17:C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Pre-neg position</vt:lpstr>
      <vt:lpstr>BOM Analysis</vt:lpstr>
      <vt:lpstr>ODC</vt:lpstr>
      <vt:lpstr>G&amp;A Regression</vt:lpstr>
      <vt:lpstr>Profit</vt:lpstr>
      <vt:lpstr>Subcontracts</vt:lpstr>
      <vt:lpstr>Direct Labor</vt:lpstr>
      <vt:lpstr>Labor OH Regression</vt:lpstr>
      <vt:lpstr>InputValues</vt:lpstr>
    </vt:vector>
  </TitlesOfParts>
  <Company>Defense Acquisition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Chelf</dc:creator>
  <cp:lastModifiedBy>Administrator</cp:lastModifiedBy>
  <cp:lastPrinted>2011-03-30T14:35:04Z</cp:lastPrinted>
  <dcterms:created xsi:type="dcterms:W3CDTF">2010-07-12T18:50:08Z</dcterms:created>
  <dcterms:modified xsi:type="dcterms:W3CDTF">2014-01-14T15:56:24Z</dcterms:modified>
</cp:coreProperties>
</file>